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morrell/My Drive (ianmorrell64@gmail.com)/Nebula/Pricing/2026/"/>
    </mc:Choice>
  </mc:AlternateContent>
  <xr:revisionPtr revIDLastSave="0" documentId="13_ncr:1_{6AC592CC-8451-1B49-895C-4E91CA11C824}" xr6:coauthVersionLast="47" xr6:coauthVersionMax="47" xr10:uidLastSave="{00000000-0000-0000-0000-000000000000}"/>
  <bookViews>
    <workbookView xWindow="0" yWindow="660" windowWidth="30240" windowHeight="18980" xr2:uid="{5E7FF20F-4D1F-E24F-9F78-C5E177EABC1E}"/>
  </bookViews>
  <sheets>
    <sheet name="Fertigation" sheetId="1" r:id="rId1"/>
  </sheets>
  <definedNames>
    <definedName name="_xlnm.Print_Area" localSheetId="0">Fertigation!$A$1:$K$75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1" l="1"/>
  <c r="D57" i="1"/>
  <c r="D56" i="1"/>
  <c r="D55" i="1"/>
  <c r="D54" i="1"/>
  <c r="I36" i="1" l="1"/>
  <c r="I35" i="1"/>
  <c r="I34" i="1"/>
  <c r="I12" i="1" l="1"/>
  <c r="I10" i="1"/>
  <c r="I9" i="1"/>
  <c r="D14" i="1"/>
  <c r="D12" i="1"/>
  <c r="D11" i="1"/>
  <c r="D10" i="1"/>
  <c r="D9" i="1"/>
  <c r="I11" i="1" l="1"/>
  <c r="D52" i="1" l="1"/>
  <c r="D67" i="1"/>
  <c r="I67" i="1"/>
  <c r="I66" i="1"/>
  <c r="D70" i="1"/>
  <c r="D69" i="1"/>
  <c r="D68" i="1"/>
  <c r="D66" i="1"/>
  <c r="D64" i="1"/>
  <c r="D63" i="1"/>
  <c r="D62" i="1"/>
  <c r="D61" i="1"/>
  <c r="D60" i="1"/>
  <c r="D59" i="1"/>
  <c r="I62" i="1"/>
  <c r="I61" i="1"/>
  <c r="I60" i="1"/>
  <c r="I59" i="1"/>
  <c r="I56" i="1"/>
  <c r="I55" i="1"/>
  <c r="I54" i="1"/>
  <c r="D51" i="1"/>
  <c r="D50" i="1"/>
  <c r="D49" i="1"/>
  <c r="D48" i="1"/>
  <c r="D47" i="1"/>
  <c r="D46" i="1"/>
  <c r="D44" i="1"/>
  <c r="I47" i="1"/>
  <c r="I46" i="1"/>
  <c r="I45" i="1"/>
  <c r="I44" i="1"/>
  <c r="I33" i="1"/>
  <c r="I32" i="1"/>
  <c r="I31" i="1"/>
  <c r="I30" i="1"/>
  <c r="I29" i="1"/>
  <c r="I28" i="1"/>
  <c r="D33" i="1"/>
  <c r="D32" i="1"/>
  <c r="D31" i="1"/>
  <c r="D30" i="1"/>
  <c r="D29" i="1"/>
  <c r="D28" i="1"/>
  <c r="D26" i="1"/>
  <c r="D25" i="1"/>
  <c r="I25" i="1"/>
  <c r="I23" i="1"/>
  <c r="I22" i="1"/>
  <c r="I21" i="1"/>
  <c r="I20" i="1"/>
  <c r="I19" i="1"/>
  <c r="I18" i="1"/>
  <c r="I17" i="1"/>
  <c r="I16" i="1"/>
  <c r="I14" i="1"/>
  <c r="I13" i="1"/>
  <c r="D13" i="1"/>
  <c r="F11" i="1" l="1"/>
  <c r="K11" i="1"/>
  <c r="K50" i="1"/>
  <c r="F50" i="1"/>
  <c r="K49" i="1"/>
  <c r="F49" i="1"/>
  <c r="J73" i="1"/>
  <c r="F31" i="1" l="1"/>
  <c r="K13" i="1"/>
  <c r="F13" i="1"/>
  <c r="F26" i="1"/>
  <c r="F25" i="1"/>
  <c r="K32" i="1"/>
  <c r="F32" i="1"/>
  <c r="F33" i="1"/>
  <c r="F30" i="1"/>
  <c r="F29" i="1"/>
  <c r="F28" i="1"/>
  <c r="J75" i="1"/>
  <c r="K36" i="1" l="1"/>
  <c r="K34" i="1"/>
  <c r="J76" i="1"/>
  <c r="F52" i="1"/>
  <c r="F51" i="1"/>
  <c r="F48" i="1"/>
  <c r="F47" i="1"/>
  <c r="F46" i="1"/>
  <c r="F45" i="1"/>
  <c r="F44" i="1"/>
  <c r="K31" i="1"/>
  <c r="K12" i="1"/>
  <c r="F12" i="1"/>
  <c r="F14" i="1"/>
  <c r="F10" i="1"/>
  <c r="F9" i="1"/>
  <c r="F57" i="1"/>
  <c r="F56" i="1"/>
  <c r="F55" i="1"/>
  <c r="F54" i="1"/>
  <c r="F70" i="1"/>
  <c r="F69" i="1"/>
  <c r="F68" i="1"/>
  <c r="F67" i="1"/>
  <c r="F66" i="1"/>
  <c r="K54" i="1"/>
  <c r="K55" i="1"/>
  <c r="K56" i="1"/>
  <c r="K57" i="1"/>
  <c r="F64" i="1"/>
  <c r="F63" i="1"/>
  <c r="F62" i="1"/>
  <c r="F61" i="1"/>
  <c r="F60" i="1"/>
  <c r="F59" i="1"/>
  <c r="K70" i="1"/>
  <c r="K69" i="1"/>
  <c r="K68" i="1"/>
  <c r="K67" i="1"/>
  <c r="K66" i="1"/>
  <c r="K64" i="1"/>
  <c r="K63" i="1"/>
  <c r="K62" i="1"/>
  <c r="K61" i="1"/>
  <c r="K60" i="1"/>
  <c r="K59" i="1"/>
  <c r="K72" i="1"/>
  <c r="K26" i="1"/>
  <c r="K25" i="1"/>
  <c r="K23" i="1"/>
  <c r="K22" i="1"/>
  <c r="K21" i="1"/>
  <c r="K20" i="1"/>
  <c r="K19" i="1"/>
  <c r="K18" i="1"/>
  <c r="K17" i="1"/>
  <c r="K14" i="1"/>
  <c r="K10" i="1"/>
  <c r="K9" i="1"/>
  <c r="K35" i="1"/>
  <c r="K33" i="1"/>
  <c r="K29" i="1"/>
  <c r="K52" i="1"/>
  <c r="K51" i="1"/>
  <c r="K48" i="1"/>
  <c r="K47" i="1"/>
  <c r="K46" i="1"/>
  <c r="K45" i="1"/>
  <c r="K44" i="1"/>
  <c r="K42" i="1"/>
  <c r="K41" i="1"/>
  <c r="K40" i="1"/>
  <c r="K39" i="1"/>
  <c r="K38" i="1"/>
  <c r="K30" i="1"/>
  <c r="K28" i="1"/>
  <c r="K16" i="1"/>
  <c r="K73" i="1" l="1"/>
  <c r="K74" i="1" s="1"/>
  <c r="K75" i="1" s="1"/>
  <c r="K76" i="1" s="1"/>
  <c r="J5" i="1" s="1"/>
</calcChain>
</file>

<file path=xl/sharedStrings.xml><?xml version="1.0" encoding="utf-8"?>
<sst xmlns="http://schemas.openxmlformats.org/spreadsheetml/2006/main" count="272" uniqueCount="231">
  <si>
    <t>F69.12</t>
  </si>
  <si>
    <t>F72</t>
  </si>
  <si>
    <t>Part #</t>
  </si>
  <si>
    <t>Units</t>
  </si>
  <si>
    <t>Ext</t>
  </si>
  <si>
    <t>Replacement Sensors</t>
  </si>
  <si>
    <t>F29.1</t>
  </si>
  <si>
    <t>F73</t>
  </si>
  <si>
    <t>F74</t>
  </si>
  <si>
    <t>F75</t>
  </si>
  <si>
    <t>Testing Solutions</t>
  </si>
  <si>
    <t>F61</t>
  </si>
  <si>
    <t>F62</t>
  </si>
  <si>
    <t>F63</t>
  </si>
  <si>
    <t>F64</t>
  </si>
  <si>
    <t>F65</t>
  </si>
  <si>
    <t>F66</t>
  </si>
  <si>
    <t>F67</t>
  </si>
  <si>
    <t>F76</t>
  </si>
  <si>
    <t>F77</t>
  </si>
  <si>
    <t>F19</t>
  </si>
  <si>
    <t>F25.2</t>
  </si>
  <si>
    <t>F21.1</t>
  </si>
  <si>
    <t>HFM Digital Flow Sensor Max 26.4G/Min NPS 1/2" - 3/4" FD-Q20C</t>
  </si>
  <si>
    <t>F21.2</t>
  </si>
  <si>
    <t>HFM Digital Flow Sensor Max 79.3 G/Min NPS 1"-1 1/4" FD-Q32C</t>
  </si>
  <si>
    <t>F21.3</t>
  </si>
  <si>
    <t>HFM Digital Flow Sensor Max 132.1 G/Min NPS 1 1/2"-2" FD-Q50C</t>
  </si>
  <si>
    <t>Anderson Pneumatic Injectors</t>
  </si>
  <si>
    <t>EM01</t>
  </si>
  <si>
    <t>EMEC solenoid driven metering pump AMS plus (complete injector)</t>
  </si>
  <si>
    <t>EM04</t>
  </si>
  <si>
    <t>EM05</t>
  </si>
  <si>
    <t>EM06</t>
  </si>
  <si>
    <t>EM07</t>
  </si>
  <si>
    <t>F11.2</t>
  </si>
  <si>
    <t>3/8" Nylon Poly tubing per foot for EMEC injectors</t>
  </si>
  <si>
    <t>EM08</t>
  </si>
  <si>
    <t xml:space="preserve">EMEC 02604110  Viton O-ring  (4 Pack) </t>
  </si>
  <si>
    <t>EM14</t>
  </si>
  <si>
    <t>EMEC 01800030  Replacement Diaphragm</t>
  </si>
  <si>
    <t>Software Upgrade</t>
  </si>
  <si>
    <t>F68</t>
  </si>
  <si>
    <t>F32.11</t>
  </si>
  <si>
    <t>1" Manual Ball Valve (Sched 80 PVC)</t>
  </si>
  <si>
    <t>F32.12</t>
  </si>
  <si>
    <t>1.5" Manual Ball Valve (Sched 80 PVC)</t>
  </si>
  <si>
    <t>F32.13</t>
  </si>
  <si>
    <t>2"  Manual Ball Valve (Sched 80 PVC)</t>
  </si>
  <si>
    <t>F32.14</t>
  </si>
  <si>
    <t>3"  Manual Ball Valve (Sched 80 PVC)</t>
  </si>
  <si>
    <t>F32.1</t>
  </si>
  <si>
    <t>1" Irrigation Valve FPT 24VAC</t>
  </si>
  <si>
    <t>F32.2</t>
  </si>
  <si>
    <t>1.5"  Irrigation Valve FPT 24VAC</t>
  </si>
  <si>
    <t>F32.3</t>
  </si>
  <si>
    <t>2"  Irrigation Valve FPT 24VAC</t>
  </si>
  <si>
    <t>F32.4</t>
  </si>
  <si>
    <t xml:space="preserve">3"  Irrigation Valve FPT 24VAC </t>
  </si>
  <si>
    <t>F32.5</t>
  </si>
  <si>
    <t>F32.6</t>
  </si>
  <si>
    <t>O72</t>
  </si>
  <si>
    <t>O73</t>
  </si>
  <si>
    <t>O74</t>
  </si>
  <si>
    <t>O75</t>
  </si>
  <si>
    <t>O76</t>
  </si>
  <si>
    <t>Subtotal</t>
  </si>
  <si>
    <t>Date:</t>
  </si>
  <si>
    <t>Contact Name:</t>
  </si>
  <si>
    <t>Contact Email:</t>
  </si>
  <si>
    <t>Contact Phone:</t>
  </si>
  <si>
    <t>Ship to Address Street:</t>
  </si>
  <si>
    <t>Ship to Address City:</t>
  </si>
  <si>
    <t>Ship to Zip Code:</t>
  </si>
  <si>
    <t>PO Number:</t>
  </si>
  <si>
    <t>Ship to ATTN:</t>
  </si>
  <si>
    <t>Please Fill in all Yellow boxes</t>
  </si>
  <si>
    <t>Description</t>
  </si>
  <si>
    <t>email completed form to ian@climatecontrol.com</t>
  </si>
  <si>
    <t>Date Rec'vd</t>
  </si>
  <si>
    <t>12 Calibration tubes mounted on Stainless frame, with 1/2" PVC Tee, PVC valve, barbed fittings</t>
  </si>
  <si>
    <t>6 Calibration tubes mounted on Stainless frame, with 1/2" PVC Tee, PVC valve, barbed fittings</t>
  </si>
  <si>
    <t>8 Calibration tubes mounted on Stainless frame, with 1/2" PVC Tee, PVC valve, barbed fittings</t>
  </si>
  <si>
    <t>10 Calibration tubes mounted on Stainless frame, with 1/2" PVC Tee, PVC valve, barbed fittings</t>
  </si>
  <si>
    <t>Freight Est.</t>
  </si>
  <si>
    <r>
      <t xml:space="preserve">Motorized Butterfly Valve 4" with </t>
    </r>
    <r>
      <rPr>
        <b/>
        <sz val="10"/>
        <color rgb="FFFF0000"/>
        <rFont val="Arial"/>
        <family val="2"/>
      </rPr>
      <t>120VAC</t>
    </r>
  </si>
  <si>
    <r>
      <t xml:space="preserve">Motorized Butterfly Valve 3" with </t>
    </r>
    <r>
      <rPr>
        <b/>
        <sz val="10"/>
        <color rgb="FFFF0000"/>
        <rFont val="Arial"/>
        <family val="2"/>
      </rPr>
      <t>120VAC</t>
    </r>
  </si>
  <si>
    <t>O48</t>
  </si>
  <si>
    <t>O46</t>
  </si>
  <si>
    <t>O42</t>
  </si>
  <si>
    <t>O41.1</t>
  </si>
  <si>
    <r>
      <t xml:space="preserve">CCS Irrigation  </t>
    </r>
    <r>
      <rPr>
        <b/>
        <sz val="11"/>
        <color rgb="FFFF0000"/>
        <rFont val="Calibri (Body)"/>
      </rPr>
      <t>Manual</t>
    </r>
    <r>
      <rPr>
        <b/>
        <sz val="11"/>
        <color rgb="FF003399"/>
        <rFont val="Calibri"/>
        <family val="2"/>
        <scheme val="minor"/>
      </rPr>
      <t xml:space="preserve"> Ball Valves</t>
    </r>
  </si>
  <si>
    <r>
      <t xml:space="preserve">CCS Irrigation </t>
    </r>
    <r>
      <rPr>
        <b/>
        <sz val="11"/>
        <color rgb="FFFF0000"/>
        <rFont val="Calibri (Body)"/>
      </rPr>
      <t>Solenloid</t>
    </r>
    <r>
      <rPr>
        <b/>
        <sz val="11"/>
        <color rgb="FF003399"/>
        <rFont val="Calibri"/>
        <family val="2"/>
        <scheme val="minor"/>
      </rPr>
      <t xml:space="preserve"> Valves 24VAC</t>
    </r>
  </si>
  <si>
    <t>C41.1</t>
  </si>
  <si>
    <t xml:space="preserve">HFM-Fertigation/Climate/Ozone Pro Manager Software Upgrade                   </t>
  </si>
  <si>
    <t>Customer Name</t>
  </si>
  <si>
    <t>Credit Card #</t>
  </si>
  <si>
    <t>Exp / Sec #</t>
  </si>
  <si>
    <r>
      <t xml:space="preserve">CCS </t>
    </r>
    <r>
      <rPr>
        <b/>
        <sz val="11"/>
        <color rgb="FFFF0000"/>
        <rFont val="Calibri (Body)"/>
      </rPr>
      <t>Motorized</t>
    </r>
    <r>
      <rPr>
        <b/>
        <sz val="11"/>
        <color rgb="FF003399"/>
        <rFont val="Calibri"/>
        <family val="2"/>
        <scheme val="minor"/>
      </rPr>
      <t xml:space="preserve"> 2 Way Ball Valves 24 VAC </t>
    </r>
  </si>
  <si>
    <t>O72.1</t>
  </si>
  <si>
    <t>O72.2</t>
  </si>
  <si>
    <r>
      <t xml:space="preserve">CCS </t>
    </r>
    <r>
      <rPr>
        <b/>
        <sz val="11"/>
        <color rgb="FFFF0000"/>
        <rFont val="Calibri (Body)"/>
      </rPr>
      <t>Motorized</t>
    </r>
    <r>
      <rPr>
        <b/>
        <sz val="11"/>
        <color rgb="FF003399"/>
        <rFont val="Calibri"/>
        <family val="2"/>
        <scheme val="minor"/>
      </rPr>
      <t xml:space="preserve"> 2 Way Ball Valves 24 VAC 	</t>
    </r>
  </si>
  <si>
    <t>EMEC Electronic Injectors &amp; Parts</t>
  </si>
  <si>
    <r>
      <t>CCS-CWX</t>
    </r>
    <r>
      <rPr>
        <sz val="11"/>
        <color theme="1"/>
        <rFont val="Calibri (Body)"/>
      </rPr>
      <t xml:space="preserve"> </t>
    </r>
    <r>
      <rPr>
        <b/>
        <sz val="11"/>
        <color theme="1"/>
        <rFont val="Calibri (Body)"/>
      </rPr>
      <t>1/4"</t>
    </r>
    <r>
      <rPr>
        <sz val="10"/>
        <color theme="1"/>
        <rFont val="Calibri"/>
        <family val="2"/>
        <scheme val="minor"/>
      </rPr>
      <t xml:space="preserve"> 2-way Ball Valve 24 VAC </t>
    </r>
  </si>
  <si>
    <r>
      <t xml:space="preserve">CCS-CWX </t>
    </r>
    <r>
      <rPr>
        <b/>
        <sz val="11"/>
        <color theme="1"/>
        <rFont val="Calibri (Body)"/>
      </rPr>
      <t>1/2"</t>
    </r>
    <r>
      <rPr>
        <sz val="10"/>
        <color theme="1"/>
        <rFont val="Calibri"/>
        <family val="2"/>
        <scheme val="minor"/>
      </rPr>
      <t xml:space="preserve"> 2-way Ball Valve 24 VAC </t>
    </r>
  </si>
  <si>
    <r>
      <t xml:space="preserve">CCS-CWX </t>
    </r>
    <r>
      <rPr>
        <b/>
        <sz val="11"/>
        <color theme="1"/>
        <rFont val="Calibri (Body)"/>
      </rPr>
      <t>3/4</t>
    </r>
    <r>
      <rPr>
        <sz val="11"/>
        <color theme="1"/>
        <rFont val="Calibri (Body)"/>
      </rPr>
      <t>"</t>
    </r>
    <r>
      <rPr>
        <sz val="10"/>
        <color theme="1"/>
        <rFont val="Calibri"/>
        <family val="2"/>
        <scheme val="minor"/>
      </rPr>
      <t xml:space="preserve"> 2-way Ball Valve 24 VAC </t>
    </r>
  </si>
  <si>
    <t xml:space="preserve">CCS-CTB 3" 2-way Ball Valve 24VAC 	</t>
  </si>
  <si>
    <t xml:space="preserve">CCS-CTB 2" 2-way Ball Valve 24 VAC 	</t>
  </si>
  <si>
    <t>Ebara CDU 70/3NB, 1-1/2hp</t>
  </si>
  <si>
    <t>Ebara CDU 200/5NB, 3hp</t>
  </si>
  <si>
    <t>Ebara 3U-32-160BNB, 5hp</t>
  </si>
  <si>
    <t>Ebara 3U-32-160BNB, 7.5hp</t>
  </si>
  <si>
    <t>E6</t>
  </si>
  <si>
    <t>E7</t>
  </si>
  <si>
    <t>GRV-IMAI-8 Sourcing 8 CH mA Input  (An)</t>
  </si>
  <si>
    <t>GRV-OACS-12. AC digital output, 12 CH</t>
  </si>
  <si>
    <t>ORP Std Solution, 475 mV 500 ml</t>
  </si>
  <si>
    <r>
      <t xml:space="preserve">Opto </t>
    </r>
    <r>
      <rPr>
        <b/>
        <sz val="11"/>
        <color rgb="FFFF0000"/>
        <rFont val="Calibri (Body)"/>
      </rPr>
      <t>Groov</t>
    </r>
    <r>
      <rPr>
        <b/>
        <sz val="11"/>
        <color rgb="FF003399"/>
        <rFont val="Calibri"/>
        <family val="2"/>
        <scheme val="minor"/>
      </rPr>
      <t xml:space="preserve"> Cards</t>
    </r>
  </si>
  <si>
    <r>
      <t xml:space="preserve">Ebara </t>
    </r>
    <r>
      <rPr>
        <b/>
        <sz val="11"/>
        <color rgb="FFFF0000"/>
        <rFont val="Calibri (Body)"/>
      </rPr>
      <t>Irrigation</t>
    </r>
    <r>
      <rPr>
        <b/>
        <sz val="11"/>
        <color rgb="FF003399"/>
        <rFont val="Calibri"/>
        <family val="2"/>
        <scheme val="minor"/>
      </rPr>
      <t xml:space="preserve"> Pumps (3 phase)</t>
    </r>
  </si>
  <si>
    <t>20976 VMC3 Complete</t>
  </si>
  <si>
    <t>Anderson Check Valves</t>
  </si>
  <si>
    <t>FA1</t>
  </si>
  <si>
    <t>FA2</t>
  </si>
  <si>
    <t>O10</t>
  </si>
  <si>
    <t>An-11651 Dual check valve (O3)</t>
  </si>
  <si>
    <t>Air Solenoid for An Injector</t>
  </si>
  <si>
    <r>
      <t>1/2" Foot Valve/Flush Fitting</t>
    </r>
    <r>
      <rPr>
        <sz val="11"/>
        <color theme="1"/>
        <rFont val="Calibri (Body)"/>
      </rPr>
      <t xml:space="preserve"> (13341)</t>
    </r>
  </si>
  <si>
    <r>
      <t xml:space="preserve">C-4010 DIN </t>
    </r>
    <r>
      <rPr>
        <sz val="10"/>
        <color theme="1"/>
        <rFont val="Calibri (Body)"/>
      </rPr>
      <t>Connector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 (Body)"/>
      </rPr>
      <t>W/M3X30</t>
    </r>
    <r>
      <rPr>
        <sz val="12"/>
        <color theme="1"/>
        <rFont val="Calibri"/>
        <family val="2"/>
        <scheme val="minor"/>
      </rPr>
      <t xml:space="preserve"> Screw</t>
    </r>
  </si>
  <si>
    <t>EM15</t>
  </si>
  <si>
    <t>EM16</t>
  </si>
  <si>
    <t>F20</t>
  </si>
  <si>
    <t>HFM-OS Flat ORP sensor - 3-2735-60</t>
  </si>
  <si>
    <t xml:space="preserve">pH Buffer4.00 Flip Cap  60ml </t>
  </si>
  <si>
    <t>pH Buffer 7.00 Flip Cap, 60 mL</t>
  </si>
  <si>
    <t>pH Buffer 4.00 1 Liter</t>
  </si>
  <si>
    <t>pH Buffer 7.00 1 Liter</t>
  </si>
  <si>
    <t>Conductivity Std, 1413 uS/cm 60 mL</t>
  </si>
  <si>
    <t>Conductivity Std, 1413uS/cm 1Liter</t>
  </si>
  <si>
    <t>Misc Parts</t>
  </si>
  <si>
    <t>O71</t>
  </si>
  <si>
    <r>
      <t>PHD-02 0.3m Filter (wht)</t>
    </r>
    <r>
      <rPr>
        <sz val="10"/>
        <color theme="1"/>
        <rFont val="Calibri (Body)"/>
      </rPr>
      <t xml:space="preserve"> 1/4" fml NPT</t>
    </r>
  </si>
  <si>
    <r>
      <t xml:space="preserve">CCS-CTB 1" </t>
    </r>
    <r>
      <rPr>
        <sz val="10"/>
        <color theme="1"/>
        <rFont val="Calibri (Body)"/>
      </rPr>
      <t xml:space="preserve">2-way Ball Valve 24 VAC </t>
    </r>
  </si>
  <si>
    <r>
      <t xml:space="preserve">CCS-CTB 1-1/2" </t>
    </r>
    <r>
      <rPr>
        <sz val="10"/>
        <color theme="1"/>
        <rFont val="Calibri (Body)"/>
      </rPr>
      <t xml:space="preserve">2-way Ball Valve 24 VAC </t>
    </r>
  </si>
  <si>
    <t>Price CDN</t>
  </si>
  <si>
    <t>Total CDN</t>
  </si>
  <si>
    <t>Ship to Address Prov:</t>
  </si>
  <si>
    <t>GST</t>
  </si>
  <si>
    <t>Northwest Territories</t>
  </si>
  <si>
    <t>Nova Scotia</t>
  </si>
  <si>
    <t>Ontario</t>
  </si>
  <si>
    <t>PE.I.</t>
  </si>
  <si>
    <t>Quebec</t>
  </si>
  <si>
    <t>Saskatchewan</t>
  </si>
  <si>
    <t>Yukon</t>
  </si>
  <si>
    <t>Select Province</t>
  </si>
  <si>
    <t>TBC</t>
  </si>
  <si>
    <t>CDN Tax</t>
  </si>
  <si>
    <t>21209 VMC3 IPF Check Valve</t>
  </si>
  <si>
    <r>
      <t xml:space="preserve">EMEC 02017291 PUMP HEAD "S" 8x12 PVDF FP (14, 16, 22x2) for </t>
    </r>
    <r>
      <rPr>
        <sz val="11"/>
        <color rgb="FF0070C0"/>
        <rFont val="Calibri (Body)"/>
      </rPr>
      <t>Standard Fertilizers</t>
    </r>
  </si>
  <si>
    <r>
      <t xml:space="preserve">EMEC 02025921 PUMP HEAD "S" 8x12 PP+EP+CE (14, 16, 22x2) for </t>
    </r>
    <r>
      <rPr>
        <sz val="11"/>
        <color rgb="FFC00000"/>
        <rFont val="Calibri (Body)"/>
      </rPr>
      <t>ALKALINE CHEMICAL</t>
    </r>
  </si>
  <si>
    <t>Freight charge is only estimate, actual freight cost will be confirmed with order confirmation &amp; any appropriate Sales Taxes</t>
  </si>
  <si>
    <t>F18.1</t>
  </si>
  <si>
    <t>1/4" Pressure guage for HFM's</t>
  </si>
  <si>
    <r>
      <t xml:space="preserve">CCS Head #2 HC (20ml) Acid Inj </t>
    </r>
    <r>
      <rPr>
        <sz val="10"/>
        <color theme="1"/>
        <rFont val="Calibri (Body)"/>
      </rPr>
      <t>(Teflon)</t>
    </r>
  </si>
  <si>
    <t>Soil Moisture/EC/Temp Sensors</t>
  </si>
  <si>
    <t>F56</t>
  </si>
  <si>
    <t>HFM-WCRM Receiver</t>
  </si>
  <si>
    <t>F57</t>
  </si>
  <si>
    <t>HFM-TDR-310w Sensor</t>
  </si>
  <si>
    <t>F58</t>
  </si>
  <si>
    <t>HFM-WCTM Transmitter (Sngle Chnl)</t>
  </si>
  <si>
    <t>F58.1</t>
  </si>
  <si>
    <t>HFM-WCTM-3 Transmitter (3 Chnl)</t>
  </si>
  <si>
    <t>F59</t>
  </si>
  <si>
    <t>Single set (TDR-310w, Recvr, Trnsmtr)</t>
  </si>
  <si>
    <t>F59.1</t>
  </si>
  <si>
    <t>Triple set (TDR-310w x 3, Recvr, Trnsmtr)</t>
  </si>
  <si>
    <t xml:space="preserve">HFM-CRE EC  sensor SS 1.0 3-2821-1 </t>
  </si>
  <si>
    <t>HFM-HSL S.S. HS Level Sensor w/Cntrl Prgm</t>
  </si>
  <si>
    <t>F72.2</t>
  </si>
  <si>
    <t>F72.1</t>
  </si>
  <si>
    <t>EMEC Parts</t>
  </si>
  <si>
    <t>EMEC Face Cover</t>
  </si>
  <si>
    <t>F21</t>
  </si>
  <si>
    <t xml:space="preserve">HFM-FS Flow Sensor 3-2735-60	</t>
  </si>
  <si>
    <t>F32</t>
  </si>
  <si>
    <t>Multi Meter - prgmbl - 99001P</t>
  </si>
  <si>
    <t>F32.22</t>
  </si>
  <si>
    <t xml:space="preserve">F30 </t>
  </si>
  <si>
    <t>FA4</t>
  </si>
  <si>
    <t>20998 VMC3 Valve set (976 &amp; 209)</t>
  </si>
  <si>
    <t>FA3</t>
  </si>
  <si>
    <t>21010 VMC Rebuild Kit</t>
  </si>
  <si>
    <t>HFM-PA pH/ORP Pre Amp - 3-2750-7</t>
  </si>
  <si>
    <r>
      <t xml:space="preserve">EMEC 07310971 INJECTION VALVE 8x10 PVDF FP (18, 19) for </t>
    </r>
    <r>
      <rPr>
        <sz val="11"/>
        <color rgb="FF0070C0"/>
        <rFont val="Calibri (Body)"/>
      </rPr>
      <t>Standard Fertilizers</t>
    </r>
  </si>
  <si>
    <r>
      <t xml:space="preserve">EMEC 07350241 INJECTION VALVE 8x10 PP+EP+CE (18, 19) for </t>
    </r>
    <r>
      <rPr>
        <sz val="11"/>
        <color rgb="FFC00000"/>
        <rFont val="Calibri (Body)"/>
      </rPr>
      <t>ALKALINE CHEMICAL</t>
    </r>
  </si>
  <si>
    <t xml:space="preserve">Temp/Hum Aspirated Sensor &amp; 5' cbl	</t>
  </si>
  <si>
    <t xml:space="preserve">Temp &amp; Humidity  Sensor (New)	</t>
  </si>
  <si>
    <t>CP1</t>
  </si>
  <si>
    <t>Custom Programming per hour</t>
  </si>
  <si>
    <t>F29.01</t>
  </si>
  <si>
    <t>FA8</t>
  </si>
  <si>
    <r>
      <t>1/4" Foot Valve/Flush Fitting (</t>
    </r>
    <r>
      <rPr>
        <sz val="11"/>
        <color theme="1"/>
        <rFont val="Calibri (Body)"/>
      </rPr>
      <t>13334</t>
    </r>
    <r>
      <rPr>
        <sz val="12"/>
        <color theme="1"/>
        <rFont val="Calibri"/>
        <family val="2"/>
        <scheme val="minor"/>
      </rPr>
      <t>)</t>
    </r>
  </si>
  <si>
    <r>
      <t>EMEC 07601741  FOOT Valve Level Probe &amp; Axial Filter 8x12 PVDF FP (17, 22) for S</t>
    </r>
    <r>
      <rPr>
        <sz val="11"/>
        <color rgb="FF0070C0"/>
        <rFont val="Calibri (Body)"/>
      </rPr>
      <t>tandard Fertilizers</t>
    </r>
  </si>
  <si>
    <r>
      <t xml:space="preserve">EMEC 07608231 FOOT Valve Level Probe &amp; Axial Filter 8x12 PP+EP+CE (17, 22) for </t>
    </r>
    <r>
      <rPr>
        <sz val="11"/>
        <color rgb="FFC00000"/>
        <rFont val="Calibri (Body)"/>
      </rPr>
      <t>ALKALINE CHEMICAL</t>
    </r>
  </si>
  <si>
    <t>Climate Control Systems Spare Parts Order Form</t>
  </si>
  <si>
    <t>Total Order</t>
  </si>
  <si>
    <t>F69.14</t>
  </si>
  <si>
    <t>British Columbia</t>
  </si>
  <si>
    <t>Alberta</t>
  </si>
  <si>
    <t>Manitoba</t>
  </si>
  <si>
    <t>New Brunswick</t>
  </si>
  <si>
    <t>Newfoundland &amp; Labradour</t>
  </si>
  <si>
    <r>
      <rPr>
        <sz val="11"/>
        <color theme="1"/>
        <rFont val="Calibri (Body)"/>
      </rPr>
      <t>GRV-IMA-24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 (Body)"/>
      </rPr>
      <t>(24 Chl analog input card EPIC)</t>
    </r>
  </si>
  <si>
    <t>HST</t>
  </si>
  <si>
    <t>Exchange Rate</t>
  </si>
  <si>
    <t>C41.12</t>
  </si>
  <si>
    <t>FA5</t>
  </si>
  <si>
    <r>
      <t xml:space="preserve">CCS Head #4 HD (40ml) </t>
    </r>
    <r>
      <rPr>
        <sz val="10"/>
        <color theme="1"/>
        <rFont val="Calibri (Body)"/>
      </rPr>
      <t>(EPDM)</t>
    </r>
  </si>
  <si>
    <t>O69.2</t>
  </si>
  <si>
    <t>24" touchscreen w/Win 11 IoT Comp</t>
  </si>
  <si>
    <t>Calibration Tube with 1/2" PVC Tee, PVC valve, barbed fittings, mounting clips</t>
  </si>
  <si>
    <r>
      <t xml:space="preserve">HFM-PHS </t>
    </r>
    <r>
      <rPr>
        <b/>
        <sz val="11"/>
        <color theme="1"/>
        <rFont val="Calibri"/>
        <family val="2"/>
        <scheme val="minor"/>
      </rPr>
      <t>FLAT</t>
    </r>
    <r>
      <rPr>
        <sz val="11"/>
        <color theme="1"/>
        <rFont val="Calibri"/>
        <family val="2"/>
        <scheme val="minor"/>
      </rPr>
      <t xml:space="preserve"> pH Sensor - 3-2724-00</t>
    </r>
  </si>
  <si>
    <r>
      <t xml:space="preserve">HFM-PHS pH Sensor - 3-2726-HF-00 </t>
    </r>
    <r>
      <rPr>
        <sz val="9"/>
        <color theme="1"/>
        <rFont val="Calibri (Body)"/>
      </rPr>
      <t>(Acid)</t>
    </r>
  </si>
  <si>
    <t>Current Form</t>
  </si>
  <si>
    <t>EM15.1</t>
  </si>
  <si>
    <t>EMEC Adjustment Know</t>
  </si>
  <si>
    <r>
      <t xml:space="preserve">Calibration Tube Stainless Steel Racks </t>
    </r>
    <r>
      <rPr>
        <b/>
        <sz val="11"/>
        <color rgb="FFFF0000"/>
        <rFont val="Calibri (Body)"/>
      </rPr>
      <t>(Aluminum Frame Racks Less $725.00 USD)</t>
    </r>
  </si>
  <si>
    <t>Select Ship or Pick up here</t>
  </si>
  <si>
    <t>V_07/28/26</t>
  </si>
  <si>
    <r>
      <t xml:space="preserve">04094 IPF 1/2" </t>
    </r>
    <r>
      <rPr>
        <sz val="9"/>
        <color theme="1"/>
        <rFont val="Calibri"/>
        <family val="2"/>
        <scheme val="minor"/>
      </rPr>
      <t>Universal-</t>
    </r>
    <r>
      <rPr>
        <sz val="9"/>
        <color theme="1"/>
        <rFont val="Calibri (Body)"/>
      </rPr>
      <t>Complete (not for H4)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</si>
</sst>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###\ ####\ ####\ ####"/>
  </numFmts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3399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"/>
    </font>
    <font>
      <sz val="10"/>
      <color theme="1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  <font>
      <b/>
      <sz val="11"/>
      <name val="Calibri"/>
      <family val="2"/>
      <scheme val="minor"/>
    </font>
    <font>
      <sz val="10"/>
      <color theme="1"/>
      <name val="Calibri (Body)"/>
    </font>
    <font>
      <sz val="11"/>
      <color rgb="FF0070C0"/>
      <name val="Calibri (Body)"/>
    </font>
    <font>
      <sz val="11"/>
      <color rgb="FFC00000"/>
      <name val="Calibri (Body)"/>
    </font>
    <font>
      <sz val="1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9"/>
      <color theme="1"/>
      <name val="Calibri (Body)"/>
    </font>
    <font>
      <u/>
      <sz val="12"/>
      <color theme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CC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44" fontId="0" fillId="0" borderId="0" xfId="2" applyFont="1"/>
    <xf numFmtId="44" fontId="0" fillId="0" borderId="0" xfId="0" applyNumberFormat="1"/>
    <xf numFmtId="0" fontId="0" fillId="0" borderId="1" xfId="0" applyBorder="1"/>
    <xf numFmtId="44" fontId="0" fillId="0" borderId="1" xfId="2" applyFont="1" applyBorder="1"/>
    <xf numFmtId="44" fontId="0" fillId="0" borderId="1" xfId="0" applyNumberFormat="1" applyBorder="1"/>
    <xf numFmtId="44" fontId="2" fillId="0" borderId="0" xfId="2" applyFont="1"/>
    <xf numFmtId="0" fontId="4" fillId="0" borderId="2" xfId="0" applyFont="1" applyBorder="1" applyAlignment="1">
      <alignment horizontal="left" vertical="center"/>
    </xf>
    <xf numFmtId="0" fontId="0" fillId="5" borderId="0" xfId="0" applyFill="1"/>
    <xf numFmtId="44" fontId="0" fillId="5" borderId="0" xfId="2" applyFont="1" applyFill="1"/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44" fontId="0" fillId="0" borderId="0" xfId="2" applyFont="1" applyAlignment="1">
      <alignment horizontal="right"/>
    </xf>
    <xf numFmtId="164" fontId="0" fillId="0" borderId="1" xfId="1" applyNumberFormat="1" applyFont="1" applyBorder="1"/>
    <xf numFmtId="44" fontId="3" fillId="0" borderId="1" xfId="2" applyFont="1" applyBorder="1" applyAlignment="1">
      <alignment horizontal="right" vertical="center"/>
    </xf>
    <xf numFmtId="44" fontId="3" fillId="0" borderId="1" xfId="2" applyFont="1" applyBorder="1" applyAlignment="1">
      <alignment horizontal="right" vertical="center" wrapText="1"/>
    </xf>
    <xf numFmtId="44" fontId="4" fillId="0" borderId="1" xfId="2" applyFont="1" applyBorder="1" applyAlignment="1">
      <alignment horizontal="right" vertical="center"/>
    </xf>
    <xf numFmtId="44" fontId="4" fillId="0" borderId="0" xfId="2" applyFont="1" applyAlignment="1">
      <alignment horizontal="right" vertical="center"/>
    </xf>
    <xf numFmtId="0" fontId="12" fillId="0" borderId="0" xfId="0" applyFont="1" applyAlignment="1">
      <alignment horizontal="left"/>
    </xf>
    <xf numFmtId="44" fontId="12" fillId="0" borderId="0" xfId="2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15" fillId="0" borderId="0" xfId="0" applyFont="1" applyAlignment="1">
      <alignment horizontal="right"/>
    </xf>
    <xf numFmtId="0" fontId="0" fillId="6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14" fontId="0" fillId="6" borderId="1" xfId="0" applyNumberForma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0" fontId="2" fillId="0" borderId="1" xfId="0" applyFont="1" applyBorder="1" applyAlignment="1">
      <alignment horizontal="left"/>
    </xf>
    <xf numFmtId="0" fontId="5" fillId="4" borderId="2" xfId="0" applyFont="1" applyFill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4" fillId="0" borderId="1" xfId="0" applyFont="1" applyBorder="1"/>
    <xf numFmtId="0" fontId="6" fillId="0" borderId="1" xfId="0" applyFont="1" applyBorder="1"/>
    <xf numFmtId="0" fontId="5" fillId="4" borderId="1" xfId="0" applyFont="1" applyFill="1" applyBorder="1" applyAlignment="1">
      <alignment vertical="center"/>
    </xf>
    <xf numFmtId="44" fontId="3" fillId="0" borderId="2" xfId="2" applyFont="1" applyBorder="1" applyAlignment="1">
      <alignment horizontal="right" vertical="center"/>
    </xf>
    <xf numFmtId="0" fontId="0" fillId="0" borderId="4" xfId="0" applyBorder="1" applyProtection="1">
      <protection locked="0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0" fontId="0" fillId="0" borderId="3" xfId="0" applyBorder="1"/>
    <xf numFmtId="44" fontId="0" fillId="0" borderId="1" xfId="2" applyFont="1" applyBorder="1" applyAlignment="1"/>
    <xf numFmtId="0" fontId="0" fillId="2" borderId="3" xfId="0" applyFill="1" applyBorder="1" applyAlignment="1">
      <alignment vertical="center"/>
    </xf>
    <xf numFmtId="44" fontId="0" fillId="0" borderId="6" xfId="2" applyFont="1" applyBorder="1"/>
    <xf numFmtId="0" fontId="0" fillId="0" borderId="7" xfId="0" applyBorder="1"/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3" xfId="0" applyFont="1" applyBorder="1"/>
    <xf numFmtId="0" fontId="0" fillId="0" borderId="3" xfId="0" applyBorder="1" applyProtection="1">
      <protection locked="0"/>
    </xf>
    <xf numFmtId="44" fontId="0" fillId="0" borderId="1" xfId="2" applyFont="1" applyBorder="1" applyProtection="1">
      <protection locked="0"/>
    </xf>
    <xf numFmtId="44" fontId="4" fillId="0" borderId="3" xfId="0" applyNumberFormat="1" applyFont="1" applyBorder="1" applyProtection="1">
      <protection locked="0"/>
    </xf>
    <xf numFmtId="44" fontId="0" fillId="0" borderId="1" xfId="2" applyFont="1" applyBorder="1" applyProtection="1"/>
    <xf numFmtId="0" fontId="3" fillId="0" borderId="0" xfId="0" applyFont="1"/>
    <xf numFmtId="9" fontId="3" fillId="0" borderId="0" xfId="0" applyNumberFormat="1" applyFont="1"/>
    <xf numFmtId="0" fontId="0" fillId="0" borderId="1" xfId="0" applyBorder="1" applyAlignment="1">
      <alignment horizontal="center"/>
    </xf>
    <xf numFmtId="44" fontId="0" fillId="0" borderId="1" xfId="2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25" fillId="0" borderId="1" xfId="0" applyFont="1" applyBorder="1"/>
    <xf numFmtId="0" fontId="0" fillId="0" borderId="1" xfId="0" applyBorder="1" applyAlignment="1">
      <alignment vertical="center"/>
    </xf>
    <xf numFmtId="0" fontId="25" fillId="0" borderId="2" xfId="0" applyFont="1" applyBorder="1" applyAlignment="1">
      <alignment horizontal="left" vertical="center"/>
    </xf>
    <xf numFmtId="44" fontId="18" fillId="0" borderId="1" xfId="0" applyNumberFormat="1" applyFont="1" applyBorder="1"/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4" fontId="3" fillId="0" borderId="1" xfId="2" applyFont="1" applyBorder="1" applyAlignment="1"/>
    <xf numFmtId="0" fontId="3" fillId="0" borderId="1" xfId="0" applyFont="1" applyBorder="1" applyProtection="1">
      <protection locked="0"/>
    </xf>
    <xf numFmtId="44" fontId="3" fillId="0" borderId="1" xfId="0" applyNumberFormat="1" applyFont="1" applyBorder="1"/>
    <xf numFmtId="44" fontId="3" fillId="0" borderId="1" xfId="2" applyFont="1" applyBorder="1"/>
    <xf numFmtId="0" fontId="25" fillId="3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vertical="center"/>
    </xf>
    <xf numFmtId="0" fontId="0" fillId="2" borderId="3" xfId="0" applyFill="1" applyBorder="1" applyAlignment="1" applyProtection="1">
      <alignment vertical="center"/>
      <protection locked="0"/>
    </xf>
    <xf numFmtId="49" fontId="0" fillId="6" borderId="1" xfId="0" applyNumberFormat="1" applyFill="1" applyBorder="1" applyProtection="1">
      <protection locked="0"/>
    </xf>
    <xf numFmtId="44" fontId="26" fillId="7" borderId="2" xfId="2" applyFont="1" applyFill="1" applyBorder="1" applyAlignment="1">
      <alignment wrapText="1"/>
    </xf>
    <xf numFmtId="0" fontId="28" fillId="0" borderId="1" xfId="3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165" fontId="0" fillId="6" borderId="1" xfId="0" applyNumberFormat="1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0" fontId="0" fillId="6" borderId="4" xfId="0" applyFill="1" applyBorder="1" applyAlignment="1" applyProtection="1">
      <alignment horizontal="left"/>
      <protection locked="0"/>
    </xf>
    <xf numFmtId="0" fontId="0" fillId="6" borderId="3" xfId="0" applyFill="1" applyBorder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4" fontId="10" fillId="7" borderId="4" xfId="2" applyFont="1" applyFill="1" applyBorder="1" applyAlignment="1">
      <alignment horizontal="center" wrapText="1"/>
    </xf>
    <xf numFmtId="44" fontId="10" fillId="7" borderId="3" xfId="2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9" fillId="0" borderId="5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4" borderId="4" xfId="0" applyFont="1" applyFill="1" applyBorder="1" applyAlignment="1">
      <alignment horizontal="left" vertical="center"/>
    </xf>
    <xf numFmtId="0" fontId="9" fillId="6" borderId="1" xfId="0" applyFont="1" applyFill="1" applyBorder="1" applyProtection="1"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1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CCEC"/>
      <color rgb="FFC5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2794</xdr:colOff>
      <xdr:row>60</xdr:row>
      <xdr:rowOff>251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6CCED2-9B0A-E64D-9A15-AB2CE7D882ED}"/>
            </a:ext>
          </a:extLst>
        </xdr:cNvPr>
        <xdr:cNvSpPr txBox="1"/>
      </xdr:nvSpPr>
      <xdr:spPr>
        <a:xfrm>
          <a:off x="2946551" y="120836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2794</xdr:colOff>
      <xdr:row>55</xdr:row>
      <xdr:rowOff>252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FEEE00-16A3-4445-92E4-A466EC148EA6}"/>
            </a:ext>
          </a:extLst>
        </xdr:cNvPr>
        <xdr:cNvSpPr txBox="1"/>
      </xdr:nvSpPr>
      <xdr:spPr>
        <a:xfrm>
          <a:off x="2946551" y="110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60</xdr:row>
      <xdr:rowOff>252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9EB277-6C93-A740-A8AB-338DAD0CFC28}"/>
            </a:ext>
          </a:extLst>
        </xdr:cNvPr>
        <xdr:cNvSpPr txBox="1"/>
      </xdr:nvSpPr>
      <xdr:spPr>
        <a:xfrm>
          <a:off x="7987052" y="120836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2794</xdr:colOff>
      <xdr:row>45</xdr:row>
      <xdr:rowOff>252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8252DF9-8669-934B-AE73-CEBFD7275EE1}"/>
            </a:ext>
          </a:extLst>
        </xdr:cNvPr>
        <xdr:cNvSpPr txBox="1"/>
      </xdr:nvSpPr>
      <xdr:spPr>
        <a:xfrm>
          <a:off x="2946551" y="112614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climatecontrol.com/customer-for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581B-3F57-B443-AE6B-BFB5566B376F}">
  <sheetPr>
    <pageSetUpPr fitToPage="1"/>
  </sheetPr>
  <dimension ref="A1:R78"/>
  <sheetViews>
    <sheetView showGridLines="0" tabSelected="1" zoomScale="139" zoomScaleNormal="173" zoomScaleSheetLayoutView="142" workbookViewId="0">
      <pane ySplit="7" topLeftCell="A8" activePane="bottomLeft" state="frozen"/>
      <selection pane="bottomLeft" activeCell="J67" sqref="J67"/>
    </sheetView>
  </sheetViews>
  <sheetFormatPr baseColWidth="10" defaultRowHeight="16" x14ac:dyDescent="0.2"/>
  <cols>
    <col min="1" max="1" width="6.6640625" style="15" bestFit="1" customWidth="1"/>
    <col min="2" max="2" width="13.6640625" style="15" customWidth="1"/>
    <col min="3" max="3" width="18.33203125" customWidth="1"/>
    <col min="4" max="4" width="10.6640625" customWidth="1"/>
    <col min="5" max="5" width="6" customWidth="1"/>
    <col min="6" max="6" width="10.1640625" bestFit="1" customWidth="1"/>
    <col min="7" max="7" width="7.33203125" customWidth="1"/>
    <col min="8" max="8" width="33.6640625" customWidth="1"/>
    <col min="9" max="9" width="12.1640625" style="2" bestFit="1" customWidth="1"/>
    <col min="11" max="11" width="13" customWidth="1"/>
    <col min="16" max="16" width="22.5" hidden="1" customWidth="1"/>
    <col min="17" max="17" width="12.83203125" hidden="1" customWidth="1"/>
    <col min="18" max="18" width="7" hidden="1" customWidth="1"/>
    <col min="19" max="20" width="0" hidden="1" customWidth="1"/>
  </cols>
  <sheetData>
    <row r="1" spans="1:18" ht="29" x14ac:dyDescent="0.35">
      <c r="A1" s="105" t="s">
        <v>205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P1" s="61" t="s">
        <v>209</v>
      </c>
      <c r="Q1" s="61" t="s">
        <v>146</v>
      </c>
      <c r="R1" s="62">
        <v>0.05</v>
      </c>
    </row>
    <row r="2" spans="1:18" ht="16" customHeight="1" x14ac:dyDescent="0.2">
      <c r="A2" s="99" t="s">
        <v>95</v>
      </c>
      <c r="B2" s="99"/>
      <c r="C2" s="101"/>
      <c r="D2" s="102"/>
      <c r="E2" s="103"/>
      <c r="F2" s="99" t="s">
        <v>68</v>
      </c>
      <c r="G2" s="99"/>
      <c r="H2" s="40"/>
      <c r="I2" s="36" t="s">
        <v>67</v>
      </c>
      <c r="J2" s="33"/>
      <c r="K2" s="82" t="s">
        <v>224</v>
      </c>
      <c r="P2" s="61" t="s">
        <v>208</v>
      </c>
      <c r="Q2" s="61" t="s">
        <v>146</v>
      </c>
      <c r="R2" s="62">
        <v>0.05</v>
      </c>
    </row>
    <row r="3" spans="1:18" ht="16" customHeight="1" x14ac:dyDescent="0.2">
      <c r="A3" s="99" t="s">
        <v>71</v>
      </c>
      <c r="B3" s="99"/>
      <c r="C3" s="101"/>
      <c r="D3" s="102"/>
      <c r="E3" s="103"/>
      <c r="F3" s="99" t="s">
        <v>69</v>
      </c>
      <c r="G3" s="99"/>
      <c r="H3" s="40"/>
      <c r="I3" s="4" t="s">
        <v>96</v>
      </c>
      <c r="J3" s="100"/>
      <c r="K3" s="100"/>
      <c r="P3" s="61" t="s">
        <v>210</v>
      </c>
      <c r="Q3" s="61" t="s">
        <v>146</v>
      </c>
      <c r="R3" s="62">
        <v>0.05</v>
      </c>
    </row>
    <row r="4" spans="1:18" ht="16" customHeight="1" x14ac:dyDescent="0.2">
      <c r="A4" s="99" t="s">
        <v>72</v>
      </c>
      <c r="B4" s="99"/>
      <c r="C4" s="101"/>
      <c r="D4" s="102"/>
      <c r="E4" s="103"/>
      <c r="F4" s="99" t="s">
        <v>70</v>
      </c>
      <c r="G4" s="99"/>
      <c r="H4" s="40"/>
      <c r="I4" s="4" t="s">
        <v>97</v>
      </c>
      <c r="J4" s="80"/>
      <c r="K4" s="28"/>
      <c r="P4" s="61" t="s">
        <v>211</v>
      </c>
      <c r="Q4" s="61" t="s">
        <v>146</v>
      </c>
      <c r="R4" s="62">
        <v>0.05</v>
      </c>
    </row>
    <row r="5" spans="1:18" ht="16" customHeight="1" x14ac:dyDescent="0.2">
      <c r="A5" s="99" t="s">
        <v>145</v>
      </c>
      <c r="B5" s="99"/>
      <c r="C5" s="101" t="s">
        <v>154</v>
      </c>
      <c r="D5" s="102"/>
      <c r="E5" s="103"/>
      <c r="F5" s="99" t="s">
        <v>75</v>
      </c>
      <c r="G5" s="99"/>
      <c r="H5" s="40"/>
      <c r="I5" s="81" t="s">
        <v>206</v>
      </c>
      <c r="J5" s="106">
        <f>K76</f>
        <v>0</v>
      </c>
      <c r="K5" s="107"/>
      <c r="P5" s="61" t="s">
        <v>212</v>
      </c>
      <c r="Q5" s="61" t="s">
        <v>146</v>
      </c>
      <c r="R5" s="62">
        <v>0.05</v>
      </c>
    </row>
    <row r="6" spans="1:18" x14ac:dyDescent="0.2">
      <c r="A6" s="99" t="s">
        <v>73</v>
      </c>
      <c r="B6" s="99"/>
      <c r="C6" s="101"/>
      <c r="D6" s="102"/>
      <c r="E6" s="103"/>
      <c r="F6" s="99" t="s">
        <v>74</v>
      </c>
      <c r="G6" s="99"/>
      <c r="H6" s="28"/>
      <c r="I6" s="52" t="s">
        <v>79</v>
      </c>
      <c r="J6" s="53"/>
      <c r="K6" s="27" t="s">
        <v>229</v>
      </c>
      <c r="P6" s="61" t="s">
        <v>147</v>
      </c>
      <c r="Q6" s="61" t="s">
        <v>146</v>
      </c>
      <c r="R6" s="62">
        <v>0.05</v>
      </c>
    </row>
    <row r="7" spans="1:18" s="26" customFormat="1" ht="16" customHeight="1" x14ac:dyDescent="0.25">
      <c r="A7" s="23" t="s">
        <v>2</v>
      </c>
      <c r="B7" s="98" t="s">
        <v>77</v>
      </c>
      <c r="C7" s="98"/>
      <c r="D7" s="98"/>
      <c r="E7" s="98"/>
      <c r="F7" s="25"/>
      <c r="G7" s="25"/>
      <c r="H7" s="25"/>
      <c r="I7" s="24" t="s">
        <v>143</v>
      </c>
      <c r="J7" s="25" t="s">
        <v>3</v>
      </c>
      <c r="K7" s="25" t="s">
        <v>4</v>
      </c>
      <c r="P7" s="61" t="s">
        <v>148</v>
      </c>
      <c r="Q7" s="61" t="s">
        <v>146</v>
      </c>
      <c r="R7" s="62">
        <v>0.05</v>
      </c>
    </row>
    <row r="8" spans="1:18" s="1" customFormat="1" x14ac:dyDescent="0.2">
      <c r="B8" s="43" t="s">
        <v>28</v>
      </c>
      <c r="C8" s="43"/>
      <c r="D8" s="38" t="s">
        <v>143</v>
      </c>
      <c r="E8" s="39" t="s">
        <v>3</v>
      </c>
      <c r="F8" s="39" t="s">
        <v>4</v>
      </c>
      <c r="G8" s="48" t="s">
        <v>2</v>
      </c>
      <c r="H8" s="37" t="s">
        <v>120</v>
      </c>
      <c r="I8" s="7"/>
      <c r="P8" s="61" t="s">
        <v>149</v>
      </c>
      <c r="Q8" s="61" t="s">
        <v>214</v>
      </c>
      <c r="R8" s="62">
        <v>0.13</v>
      </c>
    </row>
    <row r="9" spans="1:18" x14ac:dyDescent="0.2">
      <c r="A9" s="14" t="s">
        <v>0</v>
      </c>
      <c r="B9" s="85" t="s">
        <v>163</v>
      </c>
      <c r="C9" s="86"/>
      <c r="D9" s="50">
        <f>1028.5*$Q$14</f>
        <v>1439.8999999999999</v>
      </c>
      <c r="E9" s="29"/>
      <c r="F9" s="69">
        <f>E9*D9</f>
        <v>0</v>
      </c>
      <c r="G9" s="4" t="s">
        <v>121</v>
      </c>
      <c r="H9" s="49" t="s">
        <v>119</v>
      </c>
      <c r="I9" s="5">
        <f>431.97*Q14</f>
        <v>604.75800000000004</v>
      </c>
      <c r="J9" s="29"/>
      <c r="K9" s="6">
        <f>J9*I9</f>
        <v>0</v>
      </c>
      <c r="P9" s="61" t="s">
        <v>150</v>
      </c>
      <c r="Q9" s="61" t="s">
        <v>146</v>
      </c>
      <c r="R9" s="62">
        <v>0.05</v>
      </c>
    </row>
    <row r="10" spans="1:18" x14ac:dyDescent="0.2">
      <c r="A10" s="14" t="s">
        <v>207</v>
      </c>
      <c r="B10" s="85" t="s">
        <v>218</v>
      </c>
      <c r="C10" s="86"/>
      <c r="D10" s="50">
        <f>1262.8*Q14</f>
        <v>1767.9199999999998</v>
      </c>
      <c r="E10" s="29"/>
      <c r="F10" s="69">
        <f t="shared" ref="F10:F14" si="0">E10*D10</f>
        <v>0</v>
      </c>
      <c r="G10" s="4" t="s">
        <v>122</v>
      </c>
      <c r="H10" s="49" t="s">
        <v>157</v>
      </c>
      <c r="I10" s="5">
        <f>144.38*Q14</f>
        <v>202.13199999999998</v>
      </c>
      <c r="J10" s="29"/>
      <c r="K10" s="6">
        <f t="shared" ref="K10:K14" si="1">J10*I10</f>
        <v>0</v>
      </c>
      <c r="P10" s="61" t="s">
        <v>151</v>
      </c>
      <c r="Q10" s="61" t="s">
        <v>146</v>
      </c>
      <c r="R10" s="62">
        <v>0.05</v>
      </c>
    </row>
    <row r="11" spans="1:18" x14ac:dyDescent="0.2">
      <c r="A11" s="14" t="s">
        <v>201</v>
      </c>
      <c r="B11" s="85" t="s">
        <v>202</v>
      </c>
      <c r="C11" s="86"/>
      <c r="D11" s="50">
        <f>51.98*Q14</f>
        <v>72.771999999999991</v>
      </c>
      <c r="E11" s="29"/>
      <c r="F11" s="69">
        <f t="shared" si="0"/>
        <v>0</v>
      </c>
      <c r="G11" s="65" t="s">
        <v>217</v>
      </c>
      <c r="H11" s="79" t="s">
        <v>230</v>
      </c>
      <c r="I11" s="5">
        <f>ROUND((165.17*Q$14),2)</f>
        <v>231.24</v>
      </c>
      <c r="J11" s="29"/>
      <c r="K11" s="6">
        <f t="shared" si="1"/>
        <v>0</v>
      </c>
      <c r="P11" s="61" t="s">
        <v>152</v>
      </c>
      <c r="Q11" s="61" t="s">
        <v>146</v>
      </c>
      <c r="R11" s="62">
        <v>0.05</v>
      </c>
    </row>
    <row r="12" spans="1:18" x14ac:dyDescent="0.2">
      <c r="A12" s="14" t="s">
        <v>1</v>
      </c>
      <c r="B12" s="85" t="s">
        <v>126</v>
      </c>
      <c r="C12" s="86"/>
      <c r="D12" s="50">
        <f>51.98*Q14</f>
        <v>72.771999999999991</v>
      </c>
      <c r="E12" s="29"/>
      <c r="F12" s="69">
        <f t="shared" ref="F12:F13" si="2">E12*D12</f>
        <v>0</v>
      </c>
      <c r="G12" s="65" t="s">
        <v>191</v>
      </c>
      <c r="H12" s="51" t="s">
        <v>192</v>
      </c>
      <c r="I12" s="5">
        <f>65.85*Q14</f>
        <v>92.189999999999984</v>
      </c>
      <c r="J12" s="29"/>
      <c r="K12" s="6">
        <f t="shared" ref="K12:K13" si="3">J12*I12</f>
        <v>0</v>
      </c>
      <c r="P12" s="61" t="s">
        <v>153</v>
      </c>
      <c r="Q12" s="61" t="s">
        <v>146</v>
      </c>
      <c r="R12" s="62">
        <v>0.05</v>
      </c>
    </row>
    <row r="13" spans="1:18" x14ac:dyDescent="0.2">
      <c r="A13" s="14" t="s">
        <v>180</v>
      </c>
      <c r="B13" s="85" t="s">
        <v>125</v>
      </c>
      <c r="C13" s="86"/>
      <c r="D13" s="50">
        <f>150*Q14</f>
        <v>210</v>
      </c>
      <c r="E13" s="29"/>
      <c r="F13" s="69">
        <f t="shared" si="2"/>
        <v>0</v>
      </c>
      <c r="G13" s="65" t="s">
        <v>123</v>
      </c>
      <c r="H13" s="51" t="s">
        <v>124</v>
      </c>
      <c r="I13" s="5">
        <f>150*Q14</f>
        <v>210</v>
      </c>
      <c r="J13" s="29"/>
      <c r="K13" s="6">
        <f t="shared" si="3"/>
        <v>0</v>
      </c>
      <c r="P13" s="1" t="s">
        <v>154</v>
      </c>
      <c r="Q13" s="1" t="s">
        <v>155</v>
      </c>
      <c r="R13" s="1">
        <v>0</v>
      </c>
    </row>
    <row r="14" spans="1:18" x14ac:dyDescent="0.2">
      <c r="A14" s="14" t="s">
        <v>189</v>
      </c>
      <c r="B14" s="85" t="s">
        <v>190</v>
      </c>
      <c r="C14" s="86"/>
      <c r="D14" s="50">
        <f>485.1*Q14</f>
        <v>679.14</v>
      </c>
      <c r="E14" s="29"/>
      <c r="F14" s="69">
        <f t="shared" si="0"/>
        <v>0</v>
      </c>
      <c r="G14" s="65" t="s">
        <v>179</v>
      </c>
      <c r="H14" s="51" t="s">
        <v>127</v>
      </c>
      <c r="I14" s="5">
        <f>24*Q14</f>
        <v>33.599999999999994</v>
      </c>
      <c r="J14" s="29"/>
      <c r="K14" s="6">
        <f t="shared" si="1"/>
        <v>0</v>
      </c>
      <c r="P14" s="61" t="s">
        <v>215</v>
      </c>
      <c r="Q14">
        <v>1.4</v>
      </c>
    </row>
    <row r="15" spans="1:18" x14ac:dyDescent="0.2">
      <c r="A15" s="13"/>
      <c r="B15" s="89" t="s">
        <v>102</v>
      </c>
      <c r="C15" s="89"/>
      <c r="D15" s="89"/>
      <c r="E15" s="89"/>
      <c r="F15" s="89"/>
      <c r="G15" s="89"/>
      <c r="H15" s="89"/>
      <c r="I15" s="7"/>
      <c r="J15" s="30"/>
      <c r="K15" s="1"/>
    </row>
    <row r="16" spans="1:18" x14ac:dyDescent="0.2">
      <c r="A16" s="68" t="s">
        <v>29</v>
      </c>
      <c r="B16" s="93" t="s">
        <v>30</v>
      </c>
      <c r="C16" s="94"/>
      <c r="D16" s="94"/>
      <c r="E16" s="94"/>
      <c r="F16" s="94"/>
      <c r="G16" s="94"/>
      <c r="H16" s="95"/>
      <c r="I16" s="19">
        <f>1300*Q14</f>
        <v>1819.9999999999998</v>
      </c>
      <c r="J16" s="29"/>
      <c r="K16" s="6">
        <f>J16*I16</f>
        <v>0</v>
      </c>
    </row>
    <row r="17" spans="1:18" x14ac:dyDescent="0.2">
      <c r="A17" s="68" t="s">
        <v>35</v>
      </c>
      <c r="B17" s="93" t="s">
        <v>36</v>
      </c>
      <c r="C17" s="94"/>
      <c r="D17" s="94"/>
      <c r="E17" s="94"/>
      <c r="F17" s="94"/>
      <c r="G17" s="94"/>
      <c r="H17" s="95"/>
      <c r="I17" s="19">
        <f>1*Q14</f>
        <v>1.4</v>
      </c>
      <c r="J17" s="29"/>
      <c r="K17" s="6">
        <f t="shared" ref="K17:K18" si="4">J17*I17</f>
        <v>0</v>
      </c>
    </row>
    <row r="18" spans="1:18" x14ac:dyDescent="0.2">
      <c r="A18" s="68" t="s">
        <v>31</v>
      </c>
      <c r="B18" s="93" t="s">
        <v>158</v>
      </c>
      <c r="C18" s="94"/>
      <c r="D18" s="94"/>
      <c r="E18" s="94"/>
      <c r="F18" s="94"/>
      <c r="G18" s="94"/>
      <c r="H18" s="95"/>
      <c r="I18" s="19">
        <f>477.25*Q14</f>
        <v>668.15</v>
      </c>
      <c r="J18" s="29"/>
      <c r="K18" s="6">
        <f t="shared" si="4"/>
        <v>0</v>
      </c>
    </row>
    <row r="19" spans="1:18" x14ac:dyDescent="0.2">
      <c r="A19" s="68" t="s">
        <v>128</v>
      </c>
      <c r="B19" s="93" t="s">
        <v>194</v>
      </c>
      <c r="C19" s="94"/>
      <c r="D19" s="94"/>
      <c r="E19" s="94"/>
      <c r="F19" s="94"/>
      <c r="G19" s="94"/>
      <c r="H19" s="95"/>
      <c r="I19" s="19">
        <f>50.75*Q14</f>
        <v>71.05</v>
      </c>
      <c r="J19" s="29"/>
      <c r="K19" s="6">
        <f t="shared" ref="K19" si="5">J19*I19</f>
        <v>0</v>
      </c>
    </row>
    <row r="20" spans="1:18" x14ac:dyDescent="0.2">
      <c r="A20" s="68" t="s">
        <v>129</v>
      </c>
      <c r="B20" s="93" t="s">
        <v>203</v>
      </c>
      <c r="C20" s="94"/>
      <c r="D20" s="94"/>
      <c r="E20" s="94"/>
      <c r="F20" s="94"/>
      <c r="G20" s="94"/>
      <c r="H20" s="95"/>
      <c r="I20" s="19">
        <f>105*Q14</f>
        <v>147</v>
      </c>
      <c r="J20" s="29"/>
      <c r="K20" s="6">
        <f t="shared" ref="K20:K26" si="6">J20*I20</f>
        <v>0</v>
      </c>
    </row>
    <row r="21" spans="1:18" x14ac:dyDescent="0.2">
      <c r="A21" s="68" t="s">
        <v>32</v>
      </c>
      <c r="B21" s="93" t="s">
        <v>159</v>
      </c>
      <c r="C21" s="94"/>
      <c r="D21" s="94"/>
      <c r="E21" s="94"/>
      <c r="F21" s="94"/>
      <c r="G21" s="94"/>
      <c r="H21" s="95"/>
      <c r="I21" s="19">
        <f>477.25*Q14</f>
        <v>668.15</v>
      </c>
      <c r="J21" s="29"/>
      <c r="K21" s="6">
        <f t="shared" si="6"/>
        <v>0</v>
      </c>
    </row>
    <row r="22" spans="1:18" x14ac:dyDescent="0.2">
      <c r="A22" s="68" t="s">
        <v>33</v>
      </c>
      <c r="B22" s="93" t="s">
        <v>195</v>
      </c>
      <c r="C22" s="94"/>
      <c r="D22" s="94"/>
      <c r="E22" s="94"/>
      <c r="F22" s="94"/>
      <c r="G22" s="94"/>
      <c r="H22" s="95"/>
      <c r="I22" s="19">
        <f>50.75*Q14</f>
        <v>71.05</v>
      </c>
      <c r="J22" s="29"/>
      <c r="K22" s="6">
        <f t="shared" si="6"/>
        <v>0</v>
      </c>
    </row>
    <row r="23" spans="1:18" x14ac:dyDescent="0.2">
      <c r="A23" s="68" t="s">
        <v>34</v>
      </c>
      <c r="B23" s="93" t="s">
        <v>204</v>
      </c>
      <c r="C23" s="94"/>
      <c r="D23" s="94"/>
      <c r="E23" s="94"/>
      <c r="F23" s="94"/>
      <c r="G23" s="94"/>
      <c r="H23" s="95"/>
      <c r="I23" s="19">
        <f>105*Q14</f>
        <v>147</v>
      </c>
      <c r="J23" s="29"/>
      <c r="K23" s="6">
        <f t="shared" si="6"/>
        <v>0</v>
      </c>
    </row>
    <row r="24" spans="1:18" x14ac:dyDescent="0.2">
      <c r="B24" s="96" t="s">
        <v>181</v>
      </c>
      <c r="C24" s="97"/>
      <c r="D24" s="38" t="s">
        <v>143</v>
      </c>
      <c r="E24" s="39" t="s">
        <v>3</v>
      </c>
      <c r="F24" s="39" t="s">
        <v>4</v>
      </c>
      <c r="G24" s="48" t="s">
        <v>2</v>
      </c>
      <c r="H24" s="43" t="s">
        <v>181</v>
      </c>
      <c r="J24" s="31"/>
      <c r="K24" s="3"/>
    </row>
    <row r="25" spans="1:18" x14ac:dyDescent="0.2">
      <c r="A25" s="14" t="s">
        <v>37</v>
      </c>
      <c r="B25" s="90" t="s">
        <v>38</v>
      </c>
      <c r="C25" s="91"/>
      <c r="D25" s="73">
        <f>8*Q14</f>
        <v>11.2</v>
      </c>
      <c r="E25" s="74"/>
      <c r="F25" s="75">
        <f>E25*D25</f>
        <v>0</v>
      </c>
      <c r="G25" s="77" t="s">
        <v>128</v>
      </c>
      <c r="H25" s="56" t="s">
        <v>182</v>
      </c>
      <c r="I25" s="19">
        <f>50*Q14</f>
        <v>70</v>
      </c>
      <c r="J25" s="29"/>
      <c r="K25" s="6">
        <f t="shared" si="6"/>
        <v>0</v>
      </c>
    </row>
    <row r="26" spans="1:18" ht="16" customHeight="1" x14ac:dyDescent="0.2">
      <c r="A26" s="14" t="s">
        <v>39</v>
      </c>
      <c r="B26" s="90" t="s">
        <v>40</v>
      </c>
      <c r="C26" s="91"/>
      <c r="D26" s="73">
        <f>120*Q14</f>
        <v>168</v>
      </c>
      <c r="E26" s="74"/>
      <c r="F26" s="75">
        <f t="shared" ref="F26" si="7">E26*D26</f>
        <v>0</v>
      </c>
      <c r="G26" s="77" t="s">
        <v>225</v>
      </c>
      <c r="H26" s="56" t="s">
        <v>226</v>
      </c>
      <c r="I26" s="20">
        <v>35</v>
      </c>
      <c r="J26" s="29"/>
      <c r="K26" s="6">
        <f t="shared" si="6"/>
        <v>0</v>
      </c>
    </row>
    <row r="27" spans="1:18" x14ac:dyDescent="0.2">
      <c r="B27" s="43" t="s">
        <v>5</v>
      </c>
      <c r="C27" s="43"/>
      <c r="D27" s="38" t="s">
        <v>143</v>
      </c>
      <c r="E27" s="39" t="s">
        <v>3</v>
      </c>
      <c r="F27" s="39" t="s">
        <v>4</v>
      </c>
      <c r="G27" s="48" t="s">
        <v>2</v>
      </c>
      <c r="H27" s="43" t="s">
        <v>164</v>
      </c>
      <c r="J27" s="31"/>
      <c r="K27" s="3"/>
    </row>
    <row r="28" spans="1:18" s="9" customFormat="1" x14ac:dyDescent="0.2">
      <c r="A28" s="14" t="s">
        <v>200</v>
      </c>
      <c r="B28" s="90" t="s">
        <v>222</v>
      </c>
      <c r="C28" s="91"/>
      <c r="D28" s="73">
        <f>473*Q14</f>
        <v>662.19999999999993</v>
      </c>
      <c r="E28" s="74"/>
      <c r="F28" s="75">
        <f>E28*D28</f>
        <v>0</v>
      </c>
      <c r="G28" s="77" t="s">
        <v>165</v>
      </c>
      <c r="H28" s="56" t="s">
        <v>166</v>
      </c>
      <c r="I28" s="76">
        <f>299.99*Q14</f>
        <v>419.98599999999999</v>
      </c>
      <c r="J28" s="29"/>
      <c r="K28" s="6">
        <f t="shared" ref="K28:K52" si="8">J28*I28</f>
        <v>0</v>
      </c>
      <c r="P28"/>
      <c r="Q28"/>
      <c r="R28"/>
    </row>
    <row r="29" spans="1:18" s="9" customFormat="1" x14ac:dyDescent="0.2">
      <c r="A29" s="14" t="s">
        <v>6</v>
      </c>
      <c r="B29" s="90" t="s">
        <v>223</v>
      </c>
      <c r="C29" s="91"/>
      <c r="D29" s="73">
        <f>581.9*Q14</f>
        <v>814.66</v>
      </c>
      <c r="E29" s="74"/>
      <c r="F29" s="75">
        <f t="shared" ref="F29:F33" si="9">E29*D29</f>
        <v>0</v>
      </c>
      <c r="G29" s="77" t="s">
        <v>167</v>
      </c>
      <c r="H29" s="56" t="s">
        <v>168</v>
      </c>
      <c r="I29" s="76">
        <f>399.99*Q14</f>
        <v>559.98599999999999</v>
      </c>
      <c r="J29" s="29"/>
      <c r="K29" s="6">
        <f t="shared" ref="K29" si="10">J29*I29</f>
        <v>0</v>
      </c>
      <c r="P29"/>
      <c r="Q29"/>
      <c r="R29"/>
    </row>
    <row r="30" spans="1:18" s="9" customFormat="1" x14ac:dyDescent="0.2">
      <c r="A30" s="14" t="s">
        <v>20</v>
      </c>
      <c r="B30" s="90" t="s">
        <v>177</v>
      </c>
      <c r="C30" s="91"/>
      <c r="D30" s="73">
        <f>569.8*Q14</f>
        <v>797.71999999999991</v>
      </c>
      <c r="E30" s="74"/>
      <c r="F30" s="75">
        <f t="shared" si="9"/>
        <v>0</v>
      </c>
      <c r="G30" s="78" t="s">
        <v>169</v>
      </c>
      <c r="H30" s="56" t="s">
        <v>170</v>
      </c>
      <c r="I30" s="76">
        <f>349.99*Q14</f>
        <v>489.98599999999999</v>
      </c>
      <c r="J30" s="29"/>
      <c r="K30" s="6">
        <f t="shared" si="8"/>
        <v>0</v>
      </c>
      <c r="P30"/>
      <c r="Q30"/>
      <c r="R30"/>
    </row>
    <row r="31" spans="1:18" s="9" customFormat="1" x14ac:dyDescent="0.2">
      <c r="A31" s="14" t="s">
        <v>130</v>
      </c>
      <c r="B31" s="90" t="s">
        <v>131</v>
      </c>
      <c r="C31" s="91"/>
      <c r="D31" s="73">
        <f>746.9*Q14</f>
        <v>1045.6599999999999</v>
      </c>
      <c r="E31" s="74"/>
      <c r="F31" s="75">
        <f t="shared" si="9"/>
        <v>0</v>
      </c>
      <c r="G31" s="78" t="s">
        <v>171</v>
      </c>
      <c r="H31" s="56" t="s">
        <v>172</v>
      </c>
      <c r="I31" s="76">
        <f>449.99*Q14</f>
        <v>629.98599999999999</v>
      </c>
      <c r="J31" s="29"/>
      <c r="K31" s="6">
        <f t="shared" si="8"/>
        <v>0</v>
      </c>
      <c r="P31"/>
      <c r="Q31"/>
      <c r="R31"/>
    </row>
    <row r="32" spans="1:18" s="9" customFormat="1" x14ac:dyDescent="0.2">
      <c r="A32" s="14" t="s">
        <v>21</v>
      </c>
      <c r="B32" s="90" t="s">
        <v>178</v>
      </c>
      <c r="C32" s="91"/>
      <c r="D32" s="73">
        <f>295*Q14</f>
        <v>413</v>
      </c>
      <c r="E32" s="74"/>
      <c r="F32" s="75">
        <f t="shared" ref="F32" si="11">E32*D32</f>
        <v>0</v>
      </c>
      <c r="G32" s="78" t="s">
        <v>173</v>
      </c>
      <c r="H32" s="56" t="s">
        <v>174</v>
      </c>
      <c r="I32" s="76">
        <f>999*Q14</f>
        <v>1398.6</v>
      </c>
      <c r="J32" s="29"/>
      <c r="K32" s="6">
        <f t="shared" si="8"/>
        <v>0</v>
      </c>
      <c r="P32"/>
      <c r="Q32"/>
      <c r="R32"/>
    </row>
    <row r="33" spans="1:18" s="9" customFormat="1" x14ac:dyDescent="0.2">
      <c r="A33" s="14" t="s">
        <v>183</v>
      </c>
      <c r="B33" s="90" t="s">
        <v>184</v>
      </c>
      <c r="C33" s="91"/>
      <c r="D33" s="73">
        <f>720.5*Q14</f>
        <v>1008.6999999999999</v>
      </c>
      <c r="E33" s="74"/>
      <c r="F33" s="75">
        <f t="shared" si="9"/>
        <v>0</v>
      </c>
      <c r="G33" s="78" t="s">
        <v>175</v>
      </c>
      <c r="H33" s="56" t="s">
        <v>176</v>
      </c>
      <c r="I33" s="76">
        <f>1899*Q14</f>
        <v>2658.6</v>
      </c>
      <c r="J33" s="29"/>
      <c r="K33" s="6">
        <f t="shared" ref="K33" si="12">J33*I33</f>
        <v>0</v>
      </c>
    </row>
    <row r="34" spans="1:18" s="9" customFormat="1" x14ac:dyDescent="0.2">
      <c r="A34" s="68" t="s">
        <v>22</v>
      </c>
      <c r="B34" s="70" t="s">
        <v>23</v>
      </c>
      <c r="C34" s="71"/>
      <c r="D34" s="71"/>
      <c r="E34" s="71"/>
      <c r="F34" s="71"/>
      <c r="G34" s="71"/>
      <c r="H34" s="72"/>
      <c r="I34" s="21">
        <f>995*Q14</f>
        <v>1393</v>
      </c>
      <c r="J34" s="29"/>
      <c r="K34" s="6">
        <f t="shared" ref="K34:K36" si="13">J34*I34</f>
        <v>0</v>
      </c>
    </row>
    <row r="35" spans="1:18" x14ac:dyDescent="0.2">
      <c r="A35" s="68" t="s">
        <v>24</v>
      </c>
      <c r="B35" s="70" t="s">
        <v>25</v>
      </c>
      <c r="C35" s="71"/>
      <c r="D35" s="71"/>
      <c r="E35" s="71"/>
      <c r="F35" s="71"/>
      <c r="G35" s="71"/>
      <c r="H35" s="72"/>
      <c r="I35" s="21">
        <f>1140.88*Q14</f>
        <v>1597.232</v>
      </c>
      <c r="J35" s="29"/>
      <c r="K35" s="6">
        <f t="shared" si="13"/>
        <v>0</v>
      </c>
      <c r="P35" s="9"/>
      <c r="Q35" s="9"/>
      <c r="R35" s="9"/>
    </row>
    <row r="36" spans="1:18" x14ac:dyDescent="0.2">
      <c r="A36" s="68" t="s">
        <v>26</v>
      </c>
      <c r="B36" s="70" t="s">
        <v>27</v>
      </c>
      <c r="C36" s="71"/>
      <c r="D36" s="71"/>
      <c r="E36" s="71"/>
      <c r="F36" s="71"/>
      <c r="G36" s="71"/>
      <c r="H36" s="72"/>
      <c r="I36" s="21">
        <f>1140.88*Q14</f>
        <v>1597.232</v>
      </c>
      <c r="J36" s="29"/>
      <c r="K36" s="6">
        <f t="shared" si="13"/>
        <v>0</v>
      </c>
      <c r="P36" s="9"/>
      <c r="Q36" s="9"/>
      <c r="R36" s="9"/>
    </row>
    <row r="37" spans="1:18" x14ac:dyDescent="0.2">
      <c r="A37" s="16"/>
      <c r="B37" s="89" t="s">
        <v>227</v>
      </c>
      <c r="C37" s="89"/>
      <c r="D37" s="89"/>
      <c r="E37" s="89"/>
      <c r="F37" s="89"/>
      <c r="G37" s="89"/>
      <c r="H37" s="89"/>
      <c r="I37" s="10"/>
      <c r="J37" s="32"/>
      <c r="K37" s="9"/>
      <c r="P37" s="9"/>
      <c r="Q37" s="9"/>
      <c r="R37" s="9"/>
    </row>
    <row r="38" spans="1:18" x14ac:dyDescent="0.2">
      <c r="A38" s="14" t="s">
        <v>19</v>
      </c>
      <c r="B38" s="85" t="s">
        <v>221</v>
      </c>
      <c r="C38" s="92"/>
      <c r="D38" s="92"/>
      <c r="E38" s="92"/>
      <c r="F38" s="92"/>
      <c r="G38" s="92"/>
      <c r="H38" s="86"/>
      <c r="I38" s="5">
        <v>120</v>
      </c>
      <c r="J38" s="29"/>
      <c r="K38" s="6">
        <f t="shared" si="8"/>
        <v>0</v>
      </c>
      <c r="P38" s="9"/>
      <c r="Q38" s="9"/>
      <c r="R38" s="9"/>
    </row>
    <row r="39" spans="1:18" ht="16" customHeight="1" x14ac:dyDescent="0.2">
      <c r="A39" s="14" t="s">
        <v>18</v>
      </c>
      <c r="B39" s="113" t="s">
        <v>81</v>
      </c>
      <c r="C39" s="114"/>
      <c r="D39" s="114"/>
      <c r="E39" s="114"/>
      <c r="F39" s="114"/>
      <c r="G39" s="114"/>
      <c r="H39" s="115"/>
      <c r="I39" s="5">
        <v>1785</v>
      </c>
      <c r="J39" s="29"/>
      <c r="K39" s="6">
        <f t="shared" si="8"/>
        <v>0</v>
      </c>
      <c r="P39" s="9"/>
      <c r="Q39" s="9"/>
      <c r="R39" s="9"/>
    </row>
    <row r="40" spans="1:18" x14ac:dyDescent="0.2">
      <c r="A40" s="14" t="s">
        <v>7</v>
      </c>
      <c r="B40" s="85" t="s">
        <v>82</v>
      </c>
      <c r="C40" s="92"/>
      <c r="D40" s="92"/>
      <c r="E40" s="92"/>
      <c r="F40" s="92"/>
      <c r="G40" s="92"/>
      <c r="H40" s="86"/>
      <c r="I40" s="5">
        <v>2020</v>
      </c>
      <c r="J40" s="29"/>
      <c r="K40" s="6">
        <f t="shared" si="8"/>
        <v>0</v>
      </c>
    </row>
    <row r="41" spans="1:18" x14ac:dyDescent="0.2">
      <c r="A41" s="14" t="s">
        <v>8</v>
      </c>
      <c r="B41" s="85" t="s">
        <v>83</v>
      </c>
      <c r="C41" s="92"/>
      <c r="D41" s="92"/>
      <c r="E41" s="92"/>
      <c r="F41" s="92"/>
      <c r="G41" s="92"/>
      <c r="H41" s="86"/>
      <c r="I41" s="5">
        <v>2250</v>
      </c>
      <c r="J41" s="29"/>
      <c r="K41" s="6">
        <f t="shared" si="8"/>
        <v>0</v>
      </c>
    </row>
    <row r="42" spans="1:18" x14ac:dyDescent="0.2">
      <c r="A42" s="14" t="s">
        <v>9</v>
      </c>
      <c r="B42" s="85" t="s">
        <v>80</v>
      </c>
      <c r="C42" s="92"/>
      <c r="D42" s="92"/>
      <c r="E42" s="92"/>
      <c r="F42" s="92"/>
      <c r="G42" s="92"/>
      <c r="H42" s="86"/>
      <c r="I42" s="5">
        <v>2480</v>
      </c>
      <c r="J42" s="29"/>
      <c r="K42" s="6">
        <f t="shared" si="8"/>
        <v>0</v>
      </c>
    </row>
    <row r="43" spans="1:18" x14ac:dyDescent="0.2">
      <c r="B43" s="96" t="s">
        <v>10</v>
      </c>
      <c r="C43" s="97"/>
      <c r="D43" s="38" t="s">
        <v>143</v>
      </c>
      <c r="E43" s="39" t="s">
        <v>3</v>
      </c>
      <c r="F43" s="39" t="s">
        <v>4</v>
      </c>
      <c r="G43" s="48" t="s">
        <v>2</v>
      </c>
      <c r="H43" s="43" t="s">
        <v>138</v>
      </c>
      <c r="J43" s="31"/>
    </row>
    <row r="44" spans="1:18" x14ac:dyDescent="0.2">
      <c r="A44" s="14" t="s">
        <v>11</v>
      </c>
      <c r="B44" s="85" t="s">
        <v>132</v>
      </c>
      <c r="C44" s="86"/>
      <c r="D44" s="50">
        <f>16*Q14</f>
        <v>22.4</v>
      </c>
      <c r="E44" s="29"/>
      <c r="F44" s="6">
        <f t="shared" ref="F44:F47" si="14">E44*D44</f>
        <v>0</v>
      </c>
      <c r="G44" s="66" t="s">
        <v>139</v>
      </c>
      <c r="H44" s="49" t="s">
        <v>140</v>
      </c>
      <c r="I44" s="5">
        <f>80*Q14</f>
        <v>112</v>
      </c>
      <c r="J44" s="29"/>
      <c r="K44" s="6">
        <f t="shared" si="8"/>
        <v>0</v>
      </c>
    </row>
    <row r="45" spans="1:18" x14ac:dyDescent="0.2">
      <c r="A45" s="14" t="s">
        <v>12</v>
      </c>
      <c r="B45" s="85" t="s">
        <v>133</v>
      </c>
      <c r="C45" s="86"/>
      <c r="D45" s="50">
        <f>16*Q14</f>
        <v>22.4</v>
      </c>
      <c r="E45" s="29"/>
      <c r="F45" s="6">
        <f t="shared" si="14"/>
        <v>0</v>
      </c>
      <c r="G45" s="66" t="s">
        <v>161</v>
      </c>
      <c r="H45" s="49" t="s">
        <v>162</v>
      </c>
      <c r="I45" s="60">
        <f>50*Q14</f>
        <v>70</v>
      </c>
      <c r="J45" s="29"/>
      <c r="K45" s="6">
        <f t="shared" si="8"/>
        <v>0</v>
      </c>
    </row>
    <row r="46" spans="1:18" x14ac:dyDescent="0.2">
      <c r="A46" s="14" t="s">
        <v>13</v>
      </c>
      <c r="B46" s="85" t="s">
        <v>134</v>
      </c>
      <c r="C46" s="86"/>
      <c r="D46" s="50">
        <f>34*Q14</f>
        <v>47.599999999999994</v>
      </c>
      <c r="E46" s="29"/>
      <c r="F46" s="6">
        <f t="shared" si="14"/>
        <v>0</v>
      </c>
      <c r="G46" s="66" t="s">
        <v>185</v>
      </c>
      <c r="H46" s="49" t="s">
        <v>186</v>
      </c>
      <c r="I46" s="60">
        <f>841.5*Q14</f>
        <v>1178.0999999999999</v>
      </c>
      <c r="J46" s="29"/>
      <c r="K46" s="6">
        <f t="shared" si="8"/>
        <v>0</v>
      </c>
    </row>
    <row r="47" spans="1:18" x14ac:dyDescent="0.2">
      <c r="A47" s="14" t="s">
        <v>14</v>
      </c>
      <c r="B47" s="85" t="s">
        <v>135</v>
      </c>
      <c r="C47" s="86"/>
      <c r="D47" s="50">
        <f>34*Q14</f>
        <v>47.599999999999994</v>
      </c>
      <c r="E47" s="29"/>
      <c r="F47" s="6">
        <f t="shared" si="14"/>
        <v>0</v>
      </c>
      <c r="G47" s="4" t="s">
        <v>188</v>
      </c>
      <c r="H47" s="49" t="s">
        <v>193</v>
      </c>
      <c r="I47" s="60">
        <f>854.7*Q14</f>
        <v>1196.58</v>
      </c>
      <c r="J47" s="29"/>
      <c r="K47" s="6">
        <f t="shared" si="8"/>
        <v>0</v>
      </c>
    </row>
    <row r="48" spans="1:18" x14ac:dyDescent="0.2">
      <c r="A48" s="14" t="s">
        <v>15</v>
      </c>
      <c r="B48" s="85" t="s">
        <v>136</v>
      </c>
      <c r="C48" s="86"/>
      <c r="D48" s="50">
        <f>16*Q14</f>
        <v>22.4</v>
      </c>
      <c r="E48" s="29"/>
      <c r="F48" s="6">
        <f t="shared" ref="F48:F52" si="15">E48*D48</f>
        <v>0</v>
      </c>
      <c r="G48" s="4"/>
      <c r="H48" s="49"/>
      <c r="I48" s="60"/>
      <c r="J48" s="29"/>
      <c r="K48" s="6">
        <f t="shared" si="8"/>
        <v>0</v>
      </c>
    </row>
    <row r="49" spans="1:11" x14ac:dyDescent="0.2">
      <c r="A49" s="14" t="s">
        <v>16</v>
      </c>
      <c r="B49" s="85" t="s">
        <v>137</v>
      </c>
      <c r="C49" s="86"/>
      <c r="D49" s="50">
        <f>38*Q14</f>
        <v>53.199999999999996</v>
      </c>
      <c r="E49" s="29"/>
      <c r="F49" s="6">
        <f t="shared" ref="F49:F50" si="16">E49*D49</f>
        <v>0</v>
      </c>
      <c r="G49" s="4"/>
      <c r="H49" s="49"/>
      <c r="I49" s="60"/>
      <c r="J49" s="29"/>
      <c r="K49" s="6">
        <f t="shared" ref="K49:K50" si="17">J49*I49</f>
        <v>0</v>
      </c>
    </row>
    <row r="50" spans="1:11" x14ac:dyDescent="0.2">
      <c r="A50" s="14" t="s">
        <v>17</v>
      </c>
      <c r="B50" s="85" t="s">
        <v>116</v>
      </c>
      <c r="C50" s="86"/>
      <c r="D50" s="50">
        <f>38*Q14</f>
        <v>53.199999999999996</v>
      </c>
      <c r="E50" s="29"/>
      <c r="F50" s="6">
        <f t="shared" si="16"/>
        <v>0</v>
      </c>
      <c r="G50" s="4"/>
      <c r="H50" s="49"/>
      <c r="I50" s="60"/>
      <c r="J50" s="29"/>
      <c r="K50" s="6">
        <f t="shared" si="17"/>
        <v>0</v>
      </c>
    </row>
    <row r="51" spans="1:11" x14ac:dyDescent="0.2">
      <c r="A51" s="14" t="s">
        <v>93</v>
      </c>
      <c r="B51" s="85" t="s">
        <v>196</v>
      </c>
      <c r="C51" s="86"/>
      <c r="D51" s="50">
        <f>595*Q14</f>
        <v>833</v>
      </c>
      <c r="E51" s="29"/>
      <c r="F51" s="6">
        <f t="shared" si="15"/>
        <v>0</v>
      </c>
      <c r="G51" s="4"/>
      <c r="H51" s="49"/>
      <c r="I51" s="60"/>
      <c r="J51" s="29"/>
      <c r="K51" s="6">
        <f t="shared" si="8"/>
        <v>0</v>
      </c>
    </row>
    <row r="52" spans="1:11" x14ac:dyDescent="0.2">
      <c r="A52" s="14" t="s">
        <v>216</v>
      </c>
      <c r="B52" s="85" t="s">
        <v>197</v>
      </c>
      <c r="C52" s="86"/>
      <c r="D52" s="50">
        <f>199*Q14</f>
        <v>278.59999999999997</v>
      </c>
      <c r="E52" s="29"/>
      <c r="F52" s="6">
        <f t="shared" si="15"/>
        <v>0</v>
      </c>
      <c r="G52" s="4" t="s">
        <v>219</v>
      </c>
      <c r="H52" s="49" t="s">
        <v>220</v>
      </c>
      <c r="I52" s="60">
        <v>5973</v>
      </c>
      <c r="J52" s="29"/>
      <c r="K52" s="6">
        <f t="shared" si="8"/>
        <v>0</v>
      </c>
    </row>
    <row r="53" spans="1:11" x14ac:dyDescent="0.2">
      <c r="A53" s="8"/>
      <c r="B53" s="96" t="s">
        <v>118</v>
      </c>
      <c r="C53" s="116"/>
      <c r="D53" s="38" t="s">
        <v>143</v>
      </c>
      <c r="E53" s="39" t="s">
        <v>3</v>
      </c>
      <c r="F53" s="39" t="s">
        <v>4</v>
      </c>
      <c r="G53" s="48" t="s">
        <v>2</v>
      </c>
      <c r="H53" s="37" t="s">
        <v>117</v>
      </c>
      <c r="I53" s="44"/>
      <c r="J53" s="45"/>
    </row>
    <row r="54" spans="1:11" x14ac:dyDescent="0.2">
      <c r="A54" s="14" t="s">
        <v>87</v>
      </c>
      <c r="B54" s="85" t="s">
        <v>108</v>
      </c>
      <c r="C54" s="86"/>
      <c r="D54" s="50">
        <f>1699*Q14</f>
        <v>2378.6</v>
      </c>
      <c r="E54" s="29"/>
      <c r="F54" s="69">
        <f t="shared" ref="F54:F57" si="18">E54*D54</f>
        <v>0</v>
      </c>
      <c r="G54" s="66" t="s">
        <v>112</v>
      </c>
      <c r="H54" s="56" t="s">
        <v>114</v>
      </c>
      <c r="I54" s="5">
        <f>1195*Q14</f>
        <v>1673</v>
      </c>
      <c r="J54" s="29"/>
      <c r="K54" s="6">
        <f t="shared" ref="K54:K57" si="19">J54*I54</f>
        <v>0</v>
      </c>
    </row>
    <row r="55" spans="1:11" x14ac:dyDescent="0.2">
      <c r="A55" s="14" t="s">
        <v>88</v>
      </c>
      <c r="B55" s="85" t="s">
        <v>109</v>
      </c>
      <c r="C55" s="86"/>
      <c r="D55" s="50">
        <f>2180*Q14</f>
        <v>3052</v>
      </c>
      <c r="E55" s="29"/>
      <c r="F55" s="69">
        <f t="shared" si="18"/>
        <v>0</v>
      </c>
      <c r="G55" s="66" t="s">
        <v>113</v>
      </c>
      <c r="H55" s="56" t="s">
        <v>115</v>
      </c>
      <c r="I55" s="5">
        <f>400*Q14</f>
        <v>560</v>
      </c>
      <c r="J55" s="29"/>
      <c r="K55" s="6">
        <f t="shared" si="19"/>
        <v>0</v>
      </c>
    </row>
    <row r="56" spans="1:11" x14ac:dyDescent="0.2">
      <c r="A56" s="14" t="s">
        <v>89</v>
      </c>
      <c r="B56" s="85" t="s">
        <v>110</v>
      </c>
      <c r="C56" s="86"/>
      <c r="D56" s="50">
        <f>2999*Q14</f>
        <v>4198.5999999999995</v>
      </c>
      <c r="E56" s="29"/>
      <c r="F56" s="69">
        <f t="shared" si="18"/>
        <v>0</v>
      </c>
      <c r="G56" s="41" t="s">
        <v>187</v>
      </c>
      <c r="H56" s="57" t="s">
        <v>213</v>
      </c>
      <c r="I56" s="58">
        <f>735*Q14</f>
        <v>1029</v>
      </c>
      <c r="J56" s="29"/>
      <c r="K56" s="6">
        <f t="shared" si="19"/>
        <v>0</v>
      </c>
    </row>
    <row r="57" spans="1:11" x14ac:dyDescent="0.2">
      <c r="A57" s="14" t="s">
        <v>90</v>
      </c>
      <c r="B57" s="85" t="s">
        <v>111</v>
      </c>
      <c r="C57" s="86"/>
      <c r="D57" s="50">
        <f>3499*Q14</f>
        <v>4898.5999999999995</v>
      </c>
      <c r="E57" s="29"/>
      <c r="F57" s="69">
        <f t="shared" si="18"/>
        <v>0</v>
      </c>
      <c r="G57" s="42" t="s">
        <v>198</v>
      </c>
      <c r="H57" s="57" t="s">
        <v>199</v>
      </c>
      <c r="I57" s="58">
        <v>250</v>
      </c>
      <c r="J57" s="29"/>
      <c r="K57" s="6">
        <f t="shared" si="19"/>
        <v>0</v>
      </c>
    </row>
    <row r="58" spans="1:11" x14ac:dyDescent="0.2">
      <c r="A58" s="8"/>
      <c r="B58" s="96" t="s">
        <v>92</v>
      </c>
      <c r="C58" s="97"/>
      <c r="D58" s="38" t="s">
        <v>143</v>
      </c>
      <c r="E58" s="39" t="s">
        <v>3</v>
      </c>
      <c r="F58" s="39" t="s">
        <v>4</v>
      </c>
      <c r="G58" s="48" t="s">
        <v>2</v>
      </c>
      <c r="H58" s="37" t="s">
        <v>91</v>
      </c>
      <c r="I58" s="46"/>
      <c r="J58" s="47"/>
    </row>
    <row r="59" spans="1:11" x14ac:dyDescent="0.2">
      <c r="A59" s="14" t="s">
        <v>51</v>
      </c>
      <c r="B59" s="85" t="s">
        <v>52</v>
      </c>
      <c r="C59" s="86"/>
      <c r="D59" s="50">
        <f>64*Q14</f>
        <v>89.6</v>
      </c>
      <c r="E59" s="29"/>
      <c r="F59" s="69">
        <f>E59*D59</f>
        <v>0</v>
      </c>
      <c r="G59" s="12" t="s">
        <v>43</v>
      </c>
      <c r="H59" s="56" t="s">
        <v>44</v>
      </c>
      <c r="I59" s="5">
        <f>20*Q14</f>
        <v>28</v>
      </c>
      <c r="J59" s="29"/>
      <c r="K59" s="6">
        <f t="shared" ref="K59:K64" si="20">J59*I59</f>
        <v>0</v>
      </c>
    </row>
    <row r="60" spans="1:11" x14ac:dyDescent="0.2">
      <c r="A60" s="14" t="s">
        <v>53</v>
      </c>
      <c r="B60" s="85" t="s">
        <v>54</v>
      </c>
      <c r="C60" s="86"/>
      <c r="D60" s="50">
        <f>195*Q14</f>
        <v>273</v>
      </c>
      <c r="E60" s="29"/>
      <c r="F60" s="69">
        <f t="shared" ref="F60:F70" si="21">E60*D60</f>
        <v>0</v>
      </c>
      <c r="G60" s="12" t="s">
        <v>45</v>
      </c>
      <c r="H60" s="56" t="s">
        <v>46</v>
      </c>
      <c r="I60" s="5">
        <f>25*Q14</f>
        <v>35</v>
      </c>
      <c r="J60" s="29"/>
      <c r="K60" s="6">
        <f t="shared" si="20"/>
        <v>0</v>
      </c>
    </row>
    <row r="61" spans="1:11" x14ac:dyDescent="0.2">
      <c r="A61" s="14" t="s">
        <v>55</v>
      </c>
      <c r="B61" s="85" t="s">
        <v>56</v>
      </c>
      <c r="C61" s="86"/>
      <c r="D61" s="50">
        <f>285*Q14</f>
        <v>399</v>
      </c>
      <c r="E61" s="29"/>
      <c r="F61" s="69">
        <f t="shared" si="21"/>
        <v>0</v>
      </c>
      <c r="G61" s="12" t="s">
        <v>47</v>
      </c>
      <c r="H61" s="56" t="s">
        <v>48</v>
      </c>
      <c r="I61" s="5">
        <f>35*Q14</f>
        <v>49</v>
      </c>
      <c r="J61" s="29"/>
      <c r="K61" s="6">
        <f t="shared" si="20"/>
        <v>0</v>
      </c>
    </row>
    <row r="62" spans="1:11" x14ac:dyDescent="0.2">
      <c r="A62" s="14" t="s">
        <v>57</v>
      </c>
      <c r="B62" s="85" t="s">
        <v>58</v>
      </c>
      <c r="C62" s="86"/>
      <c r="D62" s="50">
        <f>775*Q14</f>
        <v>1085</v>
      </c>
      <c r="E62" s="29"/>
      <c r="F62" s="69">
        <f t="shared" si="21"/>
        <v>0</v>
      </c>
      <c r="G62" s="12" t="s">
        <v>49</v>
      </c>
      <c r="H62" s="56" t="s">
        <v>50</v>
      </c>
      <c r="I62" s="5">
        <f>95*Q14</f>
        <v>133</v>
      </c>
      <c r="J62" s="29"/>
      <c r="K62" s="6">
        <f t="shared" si="20"/>
        <v>0</v>
      </c>
    </row>
    <row r="63" spans="1:11" x14ac:dyDescent="0.2">
      <c r="A63" s="14" t="s">
        <v>59</v>
      </c>
      <c r="B63" s="87" t="s">
        <v>86</v>
      </c>
      <c r="C63" s="88"/>
      <c r="D63" s="50">
        <f>750*Q14</f>
        <v>1050</v>
      </c>
      <c r="E63" s="29"/>
      <c r="F63" s="69">
        <f t="shared" si="21"/>
        <v>0</v>
      </c>
      <c r="G63" s="59"/>
      <c r="H63" s="57"/>
      <c r="I63" s="58"/>
      <c r="J63" s="29"/>
      <c r="K63" s="6">
        <f t="shared" si="20"/>
        <v>0</v>
      </c>
    </row>
    <row r="64" spans="1:11" x14ac:dyDescent="0.2">
      <c r="A64" s="14" t="s">
        <v>60</v>
      </c>
      <c r="B64" s="87" t="s">
        <v>85</v>
      </c>
      <c r="C64" s="88"/>
      <c r="D64" s="50">
        <f>795*Q14</f>
        <v>1113</v>
      </c>
      <c r="E64" s="29"/>
      <c r="F64" s="69">
        <f t="shared" si="21"/>
        <v>0</v>
      </c>
      <c r="G64" s="59"/>
      <c r="H64" s="57"/>
      <c r="I64" s="58"/>
      <c r="J64" s="29"/>
      <c r="K64" s="6">
        <f t="shared" si="20"/>
        <v>0</v>
      </c>
    </row>
    <row r="65" spans="1:11" x14ac:dyDescent="0.2">
      <c r="A65" s="8"/>
      <c r="B65" s="89" t="s">
        <v>98</v>
      </c>
      <c r="C65" s="89"/>
      <c r="D65" s="38" t="s">
        <v>143</v>
      </c>
      <c r="E65" s="39" t="s">
        <v>3</v>
      </c>
      <c r="F65" s="39" t="s">
        <v>4</v>
      </c>
      <c r="G65" s="48" t="s">
        <v>2</v>
      </c>
      <c r="H65" s="43" t="s">
        <v>101</v>
      </c>
      <c r="I65" s="43"/>
      <c r="J65" s="43"/>
    </row>
    <row r="66" spans="1:11" x14ac:dyDescent="0.2">
      <c r="A66" s="14" t="s">
        <v>61</v>
      </c>
      <c r="B66" s="85" t="s">
        <v>103</v>
      </c>
      <c r="C66" s="86"/>
      <c r="D66" s="50">
        <f>100*Q14</f>
        <v>140</v>
      </c>
      <c r="E66" s="29"/>
      <c r="F66" s="6">
        <f t="shared" si="21"/>
        <v>0</v>
      </c>
      <c r="G66" s="67" t="s">
        <v>64</v>
      </c>
      <c r="H66" s="56" t="s">
        <v>107</v>
      </c>
      <c r="I66" s="5">
        <f>550*Q14</f>
        <v>770</v>
      </c>
      <c r="J66" s="29"/>
      <c r="K66" s="6">
        <f t="shared" ref="K66:K70" si="22">J66*I66</f>
        <v>0</v>
      </c>
    </row>
    <row r="67" spans="1:11" x14ac:dyDescent="0.2">
      <c r="A67" s="14" t="s">
        <v>99</v>
      </c>
      <c r="B67" s="85" t="s">
        <v>104</v>
      </c>
      <c r="C67" s="86"/>
      <c r="D67" s="50">
        <f>60*Q14</f>
        <v>84</v>
      </c>
      <c r="E67" s="29"/>
      <c r="F67" s="6">
        <f t="shared" si="21"/>
        <v>0</v>
      </c>
      <c r="G67" s="67" t="s">
        <v>65</v>
      </c>
      <c r="H67" s="56" t="s">
        <v>106</v>
      </c>
      <c r="I67" s="5">
        <f>765*Q14</f>
        <v>1071</v>
      </c>
      <c r="J67" s="29"/>
      <c r="K67" s="6">
        <f t="shared" si="22"/>
        <v>0</v>
      </c>
    </row>
    <row r="68" spans="1:11" x14ac:dyDescent="0.2">
      <c r="A68" s="14" t="s">
        <v>100</v>
      </c>
      <c r="B68" s="85" t="s">
        <v>105</v>
      </c>
      <c r="C68" s="86"/>
      <c r="D68" s="50">
        <f>64.35*Q14</f>
        <v>90.089999999999989</v>
      </c>
      <c r="E68" s="29"/>
      <c r="F68" s="69">
        <f t="shared" si="21"/>
        <v>0</v>
      </c>
      <c r="G68" s="54"/>
      <c r="H68" s="57"/>
      <c r="I68" s="58"/>
      <c r="J68" s="29"/>
      <c r="K68" s="6">
        <f t="shared" si="22"/>
        <v>0</v>
      </c>
    </row>
    <row r="69" spans="1:11" x14ac:dyDescent="0.2">
      <c r="A69" s="14" t="s">
        <v>62</v>
      </c>
      <c r="B69" s="85" t="s">
        <v>141</v>
      </c>
      <c r="C69" s="86"/>
      <c r="D69" s="50">
        <f>495*Q14</f>
        <v>693</v>
      </c>
      <c r="E69" s="29"/>
      <c r="F69" s="69">
        <f t="shared" si="21"/>
        <v>0</v>
      </c>
      <c r="G69" s="54"/>
      <c r="H69" s="57"/>
      <c r="I69" s="58"/>
      <c r="J69" s="29"/>
      <c r="K69" s="6">
        <f t="shared" si="22"/>
        <v>0</v>
      </c>
    </row>
    <row r="70" spans="1:11" x14ac:dyDescent="0.2">
      <c r="A70" s="14" t="s">
        <v>63</v>
      </c>
      <c r="B70" s="85" t="s">
        <v>142</v>
      </c>
      <c r="C70" s="86"/>
      <c r="D70" s="50">
        <f>525*Q14</f>
        <v>735</v>
      </c>
      <c r="E70" s="29"/>
      <c r="F70" s="69">
        <f t="shared" si="21"/>
        <v>0</v>
      </c>
      <c r="G70" s="55"/>
      <c r="H70" s="57"/>
      <c r="I70" s="58"/>
      <c r="J70" s="29"/>
      <c r="K70" s="6">
        <f t="shared" si="22"/>
        <v>0</v>
      </c>
    </row>
    <row r="71" spans="1:11" x14ac:dyDescent="0.2">
      <c r="A71" s="11"/>
      <c r="B71" s="89" t="s">
        <v>41</v>
      </c>
      <c r="C71" s="89"/>
      <c r="D71" s="89"/>
      <c r="E71" s="89"/>
      <c r="F71" s="89"/>
      <c r="G71" s="89"/>
      <c r="H71" s="89"/>
      <c r="I71" s="22"/>
    </row>
    <row r="72" spans="1:11" x14ac:dyDescent="0.2">
      <c r="A72" s="68" t="s">
        <v>42</v>
      </c>
      <c r="B72" s="108" t="s">
        <v>94</v>
      </c>
      <c r="C72" s="109"/>
      <c r="D72" s="109"/>
      <c r="E72" s="109"/>
      <c r="F72" s="109"/>
      <c r="G72" s="109"/>
      <c r="H72" s="110"/>
      <c r="I72" s="5">
        <v>1750</v>
      </c>
      <c r="J72" s="29"/>
      <c r="K72" s="6">
        <f t="shared" ref="K72" si="23">J72*I72</f>
        <v>0</v>
      </c>
    </row>
    <row r="73" spans="1:11" x14ac:dyDescent="0.2">
      <c r="A73" s="111" t="s">
        <v>76</v>
      </c>
      <c r="B73" s="111"/>
      <c r="C73" s="111"/>
      <c r="D73" s="111"/>
      <c r="E73" s="111"/>
      <c r="F73" s="111"/>
      <c r="G73" s="111"/>
      <c r="H73" s="111"/>
      <c r="I73" s="17" t="s">
        <v>66</v>
      </c>
      <c r="J73" s="18">
        <f>SUM(J9:J72)+SUM(E59:E64)+SUM(E66:E70)+SUM(E44:E57)+SUM(E9:E14)+SUM(E28:E33)+SUM(E25:E26)</f>
        <v>0</v>
      </c>
      <c r="K73" s="6">
        <f>SUM(K9:K72)+SUM(F59:F64)+SUM(F66:F70)+SUM(F44:F57)+SUM(F9:F14)+SUM(F28:F33)+SUM(F25:F26)</f>
        <v>0</v>
      </c>
    </row>
    <row r="74" spans="1:11" x14ac:dyDescent="0.2">
      <c r="A74" s="83"/>
      <c r="B74" s="83"/>
      <c r="C74" s="83"/>
      <c r="D74" s="83"/>
      <c r="E74" s="83"/>
      <c r="F74" s="83"/>
      <c r="G74" s="84"/>
      <c r="H74" s="117" t="s">
        <v>228</v>
      </c>
      <c r="I74" s="17" t="s">
        <v>84</v>
      </c>
      <c r="J74" s="4"/>
      <c r="K74" s="5">
        <f>IF(H74="Pick up",0,IF(K73&gt;15000,200,IF(K73&gt;5000,150,IF(K73&gt;1,100,0))))</f>
        <v>0</v>
      </c>
    </row>
    <row r="75" spans="1:11" x14ac:dyDescent="0.2">
      <c r="A75" s="112" t="s">
        <v>160</v>
      </c>
      <c r="B75" s="112"/>
      <c r="C75" s="112"/>
      <c r="D75" s="112"/>
      <c r="E75" s="112"/>
      <c r="F75" s="112"/>
      <c r="G75" s="112"/>
      <c r="H75" s="112"/>
      <c r="I75" s="17" t="s">
        <v>156</v>
      </c>
      <c r="J75" s="63" t="str">
        <f>VLOOKUP($C$5,$P$1:$R$13,2,FALSE)</f>
        <v>TBC</v>
      </c>
      <c r="K75" s="64">
        <f>SUM(K72:K74)*VLOOKUP($C$5,$P$1:$R$13,3,FALSE)</f>
        <v>0</v>
      </c>
    </row>
    <row r="76" spans="1:11" x14ac:dyDescent="0.2">
      <c r="A76" s="104" t="s">
        <v>78</v>
      </c>
      <c r="B76" s="104"/>
      <c r="C76" s="104"/>
      <c r="D76" s="104"/>
      <c r="E76" s="104"/>
      <c r="F76" s="104"/>
      <c r="G76" s="104"/>
      <c r="H76" s="104"/>
      <c r="I76" s="17" t="s">
        <v>144</v>
      </c>
      <c r="J76" s="35">
        <f>J73</f>
        <v>0</v>
      </c>
      <c r="K76" s="6">
        <f>SUM(K73:K75)</f>
        <v>0</v>
      </c>
    </row>
    <row r="77" spans="1:11" x14ac:dyDescent="0.2">
      <c r="A77"/>
      <c r="B77"/>
      <c r="I77"/>
    </row>
    <row r="78" spans="1:11" x14ac:dyDescent="0.2">
      <c r="A78"/>
      <c r="B78"/>
      <c r="G78" s="34"/>
      <c r="H78" s="34"/>
    </row>
  </sheetData>
  <sheetProtection algorithmName="SHA-512" hashValue="N2N5apcbt9WynvlDgkkW309OvuV1BxHENeY2MWz5xCwGp21NKzUKvrhcEDkXL4IPBPGX/7ZDI7d9I5oweu8lbA==" saltValue="Rm46/lXej9rGXe/lIbStMA==" spinCount="100000" sheet="1" selectLockedCells="1"/>
  <sortState xmlns:xlrd2="http://schemas.microsoft.com/office/spreadsheetml/2017/richdata2" ref="P1:R12">
    <sortCondition ref="P1:P12"/>
  </sortState>
  <mergeCells count="82">
    <mergeCell ref="A1:K1"/>
    <mergeCell ref="J5:K5"/>
    <mergeCell ref="B72:H72"/>
    <mergeCell ref="A73:H73"/>
    <mergeCell ref="A75:H75"/>
    <mergeCell ref="B39:H39"/>
    <mergeCell ref="B52:C52"/>
    <mergeCell ref="B59:C59"/>
    <mergeCell ref="B53:C53"/>
    <mergeCell ref="B57:C57"/>
    <mergeCell ref="B68:C68"/>
    <mergeCell ref="B65:C65"/>
    <mergeCell ref="B54:C54"/>
    <mergeCell ref="B60:C60"/>
    <mergeCell ref="B61:C61"/>
    <mergeCell ref="B31:C31"/>
    <mergeCell ref="B33:C33"/>
    <mergeCell ref="B32:C32"/>
    <mergeCell ref="B48:C48"/>
    <mergeCell ref="B51:C51"/>
    <mergeCell ref="B43:C43"/>
    <mergeCell ref="B47:C47"/>
    <mergeCell ref="B49:C49"/>
    <mergeCell ref="B50:C50"/>
    <mergeCell ref="B46:C46"/>
    <mergeCell ref="F5:G5"/>
    <mergeCell ref="A76:H76"/>
    <mergeCell ref="A2:B2"/>
    <mergeCell ref="C2:E2"/>
    <mergeCell ref="F2:G2"/>
    <mergeCell ref="B69:C69"/>
    <mergeCell ref="B70:C70"/>
    <mergeCell ref="A3:B3"/>
    <mergeCell ref="A4:B4"/>
    <mergeCell ref="A5:B5"/>
    <mergeCell ref="A6:B6"/>
    <mergeCell ref="C6:E6"/>
    <mergeCell ref="B58:C58"/>
    <mergeCell ref="B66:C66"/>
    <mergeCell ref="B67:C67"/>
    <mergeCell ref="B71:H71"/>
    <mergeCell ref="B7:E7"/>
    <mergeCell ref="F6:G6"/>
    <mergeCell ref="B17:H17"/>
    <mergeCell ref="B18:H18"/>
    <mergeCell ref="J3:K3"/>
    <mergeCell ref="B12:C12"/>
    <mergeCell ref="B9:C9"/>
    <mergeCell ref="B14:C14"/>
    <mergeCell ref="C3:E3"/>
    <mergeCell ref="C4:E4"/>
    <mergeCell ref="C5:E5"/>
    <mergeCell ref="F3:G3"/>
    <mergeCell ref="F4:G4"/>
    <mergeCell ref="B10:C10"/>
    <mergeCell ref="B15:H15"/>
    <mergeCell ref="B16:H16"/>
    <mergeCell ref="B30:C30"/>
    <mergeCell ref="B19:H19"/>
    <mergeCell ref="B20:H20"/>
    <mergeCell ref="B21:H21"/>
    <mergeCell ref="B22:H22"/>
    <mergeCell ref="B23:H23"/>
    <mergeCell ref="B25:C25"/>
    <mergeCell ref="B26:C26"/>
    <mergeCell ref="B24:C24"/>
    <mergeCell ref="B11:C11"/>
    <mergeCell ref="B13:C13"/>
    <mergeCell ref="B62:C62"/>
    <mergeCell ref="B63:C63"/>
    <mergeCell ref="B64:C64"/>
    <mergeCell ref="B56:C56"/>
    <mergeCell ref="B55:C55"/>
    <mergeCell ref="B44:C44"/>
    <mergeCell ref="B45:C45"/>
    <mergeCell ref="B37:H37"/>
    <mergeCell ref="B28:C28"/>
    <mergeCell ref="B29:C29"/>
    <mergeCell ref="B41:H41"/>
    <mergeCell ref="B42:H42"/>
    <mergeCell ref="B38:H38"/>
    <mergeCell ref="B40:H40"/>
  </mergeCells>
  <conditionalFormatting sqref="A9:F14">
    <cfRule type="expression" dxfId="17" priority="37" stopIfTrue="1">
      <formula>$E9&gt;0</formula>
    </cfRule>
  </conditionalFormatting>
  <conditionalFormatting sqref="A25:F26">
    <cfRule type="expression" dxfId="16" priority="4" stopIfTrue="1">
      <formula>$E25&gt;0</formula>
    </cfRule>
  </conditionalFormatting>
  <conditionalFormatting sqref="A28:F33">
    <cfRule type="expression" dxfId="15" priority="1" stopIfTrue="1">
      <formula>$E28&gt;0</formula>
    </cfRule>
  </conditionalFormatting>
  <conditionalFormatting sqref="A44:F52">
    <cfRule type="expression" dxfId="14" priority="28" stopIfTrue="1">
      <formula>$E44&gt;0</formula>
    </cfRule>
  </conditionalFormatting>
  <conditionalFormatting sqref="A54:F57">
    <cfRule type="expression" dxfId="13" priority="27" stopIfTrue="1">
      <formula>$E54&gt;0</formula>
    </cfRule>
  </conditionalFormatting>
  <conditionalFormatting sqref="A59:F64">
    <cfRule type="expression" dxfId="12" priority="26" stopIfTrue="1">
      <formula>$E59&gt;0</formula>
    </cfRule>
  </conditionalFormatting>
  <conditionalFormatting sqref="A66:F70">
    <cfRule type="expression" dxfId="11" priority="25" stopIfTrue="1">
      <formula>$E66&gt;0</formula>
    </cfRule>
  </conditionalFormatting>
  <conditionalFormatting sqref="A16:K23">
    <cfRule type="expression" dxfId="10" priority="14">
      <formula>$J16&gt;0</formula>
    </cfRule>
  </conditionalFormatting>
  <conditionalFormatting sqref="A34:K36">
    <cfRule type="expression" dxfId="9" priority="23">
      <formula>$J34&gt;0</formula>
    </cfRule>
  </conditionalFormatting>
  <conditionalFormatting sqref="A38:K42">
    <cfRule type="expression" dxfId="8" priority="22">
      <formula>$J38&gt;0</formula>
    </cfRule>
  </conditionalFormatting>
  <conditionalFormatting sqref="A72:K72">
    <cfRule type="expression" dxfId="7" priority="21">
      <formula>+$J72&gt;0</formula>
    </cfRule>
  </conditionalFormatting>
  <conditionalFormatting sqref="G25:K26">
    <cfRule type="expression" dxfId="6" priority="6">
      <formula>$J25&gt;0</formula>
    </cfRule>
  </conditionalFormatting>
  <conditionalFormatting sqref="G28:K33">
    <cfRule type="expression" dxfId="5" priority="10">
      <formula>$J28&gt;0</formula>
    </cfRule>
  </conditionalFormatting>
  <conditionalFormatting sqref="H9:K14">
    <cfRule type="expression" dxfId="4" priority="20">
      <formula>$J9&gt;0</formula>
    </cfRule>
  </conditionalFormatting>
  <conditionalFormatting sqref="H44:K52">
    <cfRule type="expression" dxfId="3" priority="3">
      <formula>$J44&gt;0</formula>
    </cfRule>
  </conditionalFormatting>
  <conditionalFormatting sqref="H54:K57">
    <cfRule type="expression" dxfId="2" priority="18">
      <formula>$J54&gt;0</formula>
    </cfRule>
  </conditionalFormatting>
  <conditionalFormatting sqref="H59:K64">
    <cfRule type="expression" dxfId="1" priority="17">
      <formula>$J59&gt;0</formula>
    </cfRule>
  </conditionalFormatting>
  <conditionalFormatting sqref="H66:K70">
    <cfRule type="expression" dxfId="0" priority="16">
      <formula>$J66&gt;0</formula>
    </cfRule>
  </conditionalFormatting>
  <dataValidations count="2">
    <dataValidation type="list" allowBlank="1" showInputMessage="1" showErrorMessage="1" sqref="C5:E5" xr:uid="{ACD75104-9832-B84B-B1D7-663ED7E433CB}">
      <formula1>$P$1:$P$13</formula1>
    </dataValidation>
    <dataValidation type="list" allowBlank="1" showInputMessage="1" showErrorMessage="1" sqref="H74" xr:uid="{BE6C9210-D65A-A54B-B0C8-EE01A108C2C4}">
      <formula1>"Select Ship or Pick up here, Ship, Pick Up"</formula1>
    </dataValidation>
  </dataValidations>
  <hyperlinks>
    <hyperlink ref="K2" r:id="rId1" xr:uid="{899F0348-35BF-9149-BC71-E0950835E80D}"/>
  </hyperlinks>
  <printOptions horizontalCentered="1"/>
  <pageMargins left="0.7" right="0.7" top="1.2" bottom="0.25" header="0.3" footer="0.05"/>
  <pageSetup scale="60" orientation="portrait" horizontalDpi="0" verticalDpi="0"/>
  <headerFooter>
    <oddHeader>&amp;L&amp;"Calibri,Regular"&amp;K000000&amp;G&amp;R&amp;"Calibri,Regular"&amp;18&amp;K000000 408 Mersea Rd 3
Leamington, ON
Canada N8H 3V5
519 322 2515
ClimateControl.com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E23C662965244FB0F55C517CE04DDC" ma:contentTypeVersion="3" ma:contentTypeDescription="Create a new document." ma:contentTypeScope="" ma:versionID="640903b1974b6899e182362891726027">
  <xsd:schema xmlns:xsd="http://www.w3.org/2001/XMLSchema" xmlns:xs="http://www.w3.org/2001/XMLSchema" xmlns:p="http://schemas.microsoft.com/office/2006/metadata/properties" xmlns:ns2="d37b6537-7ddf-450e-a719-ed1dd5234b6e" targetNamespace="http://schemas.microsoft.com/office/2006/metadata/properties" ma:root="true" ma:fieldsID="409d66af4ed74be59b9bf5496b478b9b" ns2:_="">
    <xsd:import namespace="d37b6537-7ddf-450e-a719-ed1dd5234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b6537-7ddf-450e-a719-ed1dd5234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60FE7-B998-47F4-9EF9-99C0BFE65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b6537-7ddf-450e-a719-ed1dd5234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A3E45-4D56-4680-944D-098F8B533734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37b6537-7ddf-450e-a719-ed1dd5234b6e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76ED91-963E-4375-A4A4-DD881BB81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Fertigation</vt:lpstr>
      <vt:lpstr>Fertigation!Print_Area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Morrell</dc:creator>
  <cp:lastModifiedBy>Ian Morrell</cp:lastModifiedBy>
  <cp:lastPrinted>2025-01-03T20:27:42Z</cp:lastPrinted>
  <dcterms:created xsi:type="dcterms:W3CDTF">2022-06-24T15:29:34Z</dcterms:created>
  <dcterms:modified xsi:type="dcterms:W3CDTF">2026-07-28T14:44:55Z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0x0101003FE23C662965244FB0F55C517CE04DDC</vt:lpwstr>
  </property>
</Properties>
</file>